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abarnett/Downloads/"/>
    </mc:Choice>
  </mc:AlternateContent>
  <xr:revisionPtr revIDLastSave="0" documentId="13_ncr:1_{3B9AA16A-A90F-D34B-AEDC-24A2333919D1}" xr6:coauthVersionLast="47" xr6:coauthVersionMax="47" xr10:uidLastSave="{00000000-0000-0000-0000-000000000000}"/>
  <bookViews>
    <workbookView xWindow="0" yWindow="760" windowWidth="19420" windowHeight="10300" tabRatio="893" xr2:uid="{00000000-000D-0000-FFFF-FFFF00000000}"/>
  </bookViews>
  <sheets>
    <sheet name="Summary 2023-25" sheetId="1" r:id="rId1"/>
    <sheet name="2025 Budget" sheetId="41" r:id="rId2"/>
    <sheet name="Workings" sheetId="44" state="hidden" r:id="rId3"/>
  </sheets>
  <definedNames>
    <definedName name="_xlnm._FilterDatabase" localSheetId="2" hidden="1">Workings!$B$3:$I$64</definedName>
    <definedName name="_Key1" hidden="1">#REF!</definedName>
    <definedName name="_key11" hidden="1">#REF!</definedName>
    <definedName name="_Order1" hidden="1">255</definedName>
    <definedName name="_Sort" hidden="1">#REF!</definedName>
    <definedName name="BDLEFT">#REF!</definedName>
    <definedName name="Beg_Bal">#REF!</definedName>
    <definedName name="BRANTRAV">#REF!</definedName>
    <definedName name="BUDGET">#REF!</definedName>
    <definedName name="cashflow">IF(#REF!,#REF!+#REF!,#REF!)</definedName>
    <definedName name="Data">#REF!</definedName>
    <definedName name="effective">#REF!</definedName>
    <definedName name="End_Bal">#REF!</definedName>
    <definedName name="EXRATE">#REF!</definedName>
    <definedName name="ExrateUsdUgx">#REF!</definedName>
    <definedName name="Extra_Pay">#REF!</definedName>
    <definedName name="Full_Print">#REF!</definedName>
    <definedName name="Header_Row">ROW(#REF!)</definedName>
    <definedName name="INFLATIONACTIVITIES">#REF!</definedName>
    <definedName name="InflationLabor">#REF!</definedName>
    <definedName name="InflationLabour">#REF!</definedName>
    <definedName name="inflationYr1">#REF!</definedName>
    <definedName name="Int">#REF!</definedName>
    <definedName name="Interest_Rate">#REF!</definedName>
    <definedName name="Last_Row">IF(#REF!,Header_Row+#REF!,Header_Row)</definedName>
    <definedName name="Loan_Amount">#REF!</definedName>
    <definedName name="Loan_Start">#REF!</definedName>
    <definedName name="Loan_Years">#REF!</definedName>
    <definedName name="LOE">#REF!</definedName>
    <definedName name="Num_Pmt_Per_Year">#REF!</definedName>
    <definedName name="Number_of_Payments">MATCH(0.01,End_Bal,-1)+1</definedName>
    <definedName name="Pay_Date">#REF!</definedName>
    <definedName name="Pay_Num">#REF!</definedName>
    <definedName name="Payment_Date">DATE(YEAR(Loan_Start),MONTH(Loan_Start)+Payment_Number,DAY(Loan_Start))</definedName>
    <definedName name="PERIOD">#REF!</definedName>
    <definedName name="Princ">#REF!</definedName>
    <definedName name="PRINT_AR01">#REF!</definedName>
    <definedName name="_xlnm.Print_Area">#REF!</definedName>
    <definedName name="Print_Area_Reset">OFFSET(Full_Print,0,0,Last_Row)</definedName>
    <definedName name="_xlnm.Print_Titles">#N/A</definedName>
    <definedName name="Procurement_and_Supply_Chain">#REF!</definedName>
    <definedName name="RANGE">#REF!</definedName>
    <definedName name="Sched_Pay">#REF!</definedName>
    <definedName name="Scheduled_Extra_Payments">#REF!</definedName>
    <definedName name="Scheduled_Interest_Rate">#REF!</definedName>
    <definedName name="Scheduled_Monthly_Payment">#REF!</definedName>
    <definedName name="sourcedata">OFFSET(#REF!,0,0,COUNTA(#REF!),COUNTA(#REF!))</definedName>
    <definedName name="stafflevel">#REF!</definedName>
    <definedName name="SUMSHELL">#REF!</definedName>
    <definedName name="template">#REF!</definedName>
    <definedName name="Total_Interest">#REF!</definedName>
    <definedName name="Total_Pay">#REF!</definedName>
    <definedName name="Total_Payment">Scheduled_Payment+Extra_Payment</definedName>
    <definedName name="Values_Entered">IF(Loan_Amount*Interest_Rate*Loan_Years*Loan_Start&gt;0,1,0)</definedName>
    <definedName name="varARVShip">0.15</definedName>
    <definedName name="w">#REF!</definedName>
    <definedName name="WP_">IF(#REF!,#REF!+#REF!,#REF!)</definedName>
    <definedName name="XRATE">#REF!</definedName>
    <definedName name="x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D7" i="1"/>
  <c r="F69" i="44"/>
  <c r="F68" i="44"/>
  <c r="F67" i="44"/>
  <c r="F66" i="44"/>
  <c r="F65" i="44"/>
  <c r="F101" i="44"/>
  <c r="F100" i="44"/>
  <c r="F99" i="44"/>
  <c r="F98" i="44"/>
  <c r="F97" i="44"/>
  <c r="F96" i="44"/>
  <c r="F95" i="44"/>
  <c r="F94" i="44"/>
  <c r="F93" i="44"/>
  <c r="F92" i="44"/>
  <c r="F48" i="44"/>
  <c r="F91" i="44"/>
  <c r="F58" i="44" l="1"/>
  <c r="F59" i="44"/>
  <c r="F57" i="44"/>
  <c r="F56" i="44"/>
  <c r="F55" i="44"/>
  <c r="F54" i="44"/>
  <c r="E54" i="44"/>
  <c r="F53" i="44"/>
  <c r="F49" i="44"/>
  <c r="F47" i="44"/>
  <c r="F39" i="44"/>
  <c r="G33" i="44" l="1"/>
  <c r="G32" i="44"/>
  <c r="G31" i="44"/>
  <c r="F33" i="44"/>
  <c r="F34" i="44"/>
  <c r="F35" i="44"/>
  <c r="F36" i="44"/>
  <c r="F37" i="44"/>
  <c r="F25" i="44"/>
  <c r="F27" i="44"/>
  <c r="F30" i="44"/>
  <c r="F29" i="44"/>
  <c r="F28" i="44"/>
  <c r="F26" i="44" l="1"/>
  <c r="F23" i="44"/>
  <c r="F31" i="44"/>
  <c r="F38" i="44"/>
  <c r="G38" i="44" s="1"/>
  <c r="G36" i="44"/>
  <c r="G34" i="44"/>
  <c r="G37" i="44"/>
  <c r="G35" i="44"/>
  <c r="F21" i="44"/>
  <c r="F20" i="44"/>
  <c r="F19" i="44"/>
  <c r="F18" i="44"/>
  <c r="F17" i="44"/>
  <c r="F16" i="44"/>
  <c r="F15" i="44"/>
  <c r="F14" i="44"/>
  <c r="F46" i="44"/>
  <c r="G46" i="44" s="1"/>
  <c r="E72" i="44"/>
  <c r="G99" i="44"/>
  <c r="F90" i="44"/>
  <c r="G90" i="44" s="1"/>
  <c r="G86" i="44"/>
  <c r="F89" i="44"/>
  <c r="G89" i="44" s="1"/>
  <c r="G101" i="44" l="1"/>
  <c r="G100" i="44"/>
  <c r="E93" i="44" l="1"/>
  <c r="E92" i="44"/>
  <c r="D28" i="1"/>
  <c r="G98" i="44"/>
  <c r="G97" i="44"/>
  <c r="G96" i="44"/>
  <c r="G95" i="44"/>
  <c r="G94" i="44"/>
  <c r="G88" i="44"/>
  <c r="G87" i="44"/>
  <c r="F85" i="44"/>
  <c r="G85" i="44" s="1"/>
  <c r="F84" i="44"/>
  <c r="E84" i="44"/>
  <c r="F83" i="44"/>
  <c r="E83" i="44"/>
  <c r="F82" i="44"/>
  <c r="G82" i="44" s="1"/>
  <c r="G81" i="44"/>
  <c r="F80" i="44"/>
  <c r="G80" i="44" s="1"/>
  <c r="G79" i="44"/>
  <c r="F78" i="44"/>
  <c r="G78" i="44" s="1"/>
  <c r="F77" i="44"/>
  <c r="G77" i="44" s="1"/>
  <c r="E76" i="44"/>
  <c r="G76" i="44" s="1"/>
  <c r="G75" i="44"/>
  <c r="E74" i="44"/>
  <c r="G74" i="44" s="1"/>
  <c r="G73" i="44"/>
  <c r="G72" i="44"/>
  <c r="G71" i="44"/>
  <c r="G70" i="44"/>
  <c r="G69" i="44"/>
  <c r="G68" i="44"/>
  <c r="G67" i="44"/>
  <c r="G66" i="44"/>
  <c r="G65" i="44"/>
  <c r="G64" i="44"/>
  <c r="F63" i="44"/>
  <c r="G63" i="44" s="1"/>
  <c r="G62" i="44"/>
  <c r="F61" i="44"/>
  <c r="G61" i="44" s="1"/>
  <c r="F60" i="44"/>
  <c r="G60" i="44" s="1"/>
  <c r="G59" i="44"/>
  <c r="G58" i="44"/>
  <c r="G57" i="44"/>
  <c r="G56" i="44"/>
  <c r="G55" i="44"/>
  <c r="G54" i="44"/>
  <c r="G53" i="44"/>
  <c r="F52" i="44"/>
  <c r="G52" i="44" s="1"/>
  <c r="G51" i="44"/>
  <c r="F50" i="44"/>
  <c r="G50" i="44" s="1"/>
  <c r="G49" i="44"/>
  <c r="G48" i="44"/>
  <c r="G47" i="44"/>
  <c r="F45" i="44"/>
  <c r="G45" i="44" s="1"/>
  <c r="F44" i="44"/>
  <c r="G44" i="44" s="1"/>
  <c r="G43" i="44"/>
  <c r="G42" i="44"/>
  <c r="G41" i="44"/>
  <c r="G40" i="44"/>
  <c r="G39" i="44"/>
  <c r="G30" i="44"/>
  <c r="G29" i="44"/>
  <c r="G28" i="44"/>
  <c r="G27" i="44"/>
  <c r="G26" i="44"/>
  <c r="G25" i="44"/>
  <c r="G24" i="44"/>
  <c r="G23" i="44"/>
  <c r="G22" i="44"/>
  <c r="G21" i="44"/>
  <c r="G20" i="44"/>
  <c r="G19" i="44"/>
  <c r="G18" i="44"/>
  <c r="G17" i="44"/>
  <c r="G16" i="44"/>
  <c r="G15" i="44"/>
  <c r="G14" i="44"/>
  <c r="G13" i="44"/>
  <c r="G12" i="44"/>
  <c r="G11" i="44"/>
  <c r="G10" i="44"/>
  <c r="G9" i="44"/>
  <c r="F8" i="44"/>
  <c r="G8" i="44" s="1"/>
  <c r="G7" i="44"/>
  <c r="G6" i="44"/>
  <c r="G5" i="44"/>
  <c r="G4" i="44"/>
  <c r="B20" i="41" l="1"/>
  <c r="B27" i="41"/>
  <c r="G84" i="44"/>
  <c r="G83" i="44"/>
  <c r="G92" i="44"/>
  <c r="B14" i="41"/>
  <c r="B19" i="41"/>
  <c r="B21" i="41"/>
  <c r="B22" i="41"/>
  <c r="B23" i="41"/>
  <c r="B13" i="41"/>
  <c r="G93" i="44"/>
  <c r="E91" i="44"/>
  <c r="G91" i="44" s="1"/>
  <c r="G103" i="44" s="1"/>
  <c r="B29" i="41" l="1"/>
  <c r="D29" i="1" s="1"/>
  <c r="B3" i="41"/>
  <c r="D3" i="1" s="1"/>
  <c r="B30" i="1"/>
  <c r="D27" i="1" l="1"/>
  <c r="D19" i="1"/>
  <c r="D20" i="1"/>
  <c r="D21" i="1"/>
  <c r="D22" i="1"/>
  <c r="D23" i="1"/>
  <c r="D18" i="1"/>
  <c r="D13" i="1"/>
  <c r="D14" i="1"/>
  <c r="D12" i="1"/>
  <c r="B9" i="41"/>
  <c r="B30" i="41"/>
  <c r="B4" i="41"/>
  <c r="B24" i="41" l="1"/>
  <c r="B15" i="41"/>
  <c r="B32" i="41" l="1"/>
  <c r="C4" i="1"/>
  <c r="D4" i="1"/>
  <c r="C9" i="1"/>
  <c r="D9" i="1"/>
  <c r="C15" i="1"/>
  <c r="D15" i="1"/>
  <c r="C24" i="1"/>
  <c r="D24" i="1"/>
  <c r="C30" i="1"/>
  <c r="C32" i="1" s="1"/>
  <c r="C36" i="1" s="1"/>
  <c r="D30" i="1"/>
  <c r="D32" i="1" l="1"/>
  <c r="B15" i="1"/>
  <c r="D36" i="1" l="1"/>
  <c r="E32" i="1"/>
  <c r="B4" i="1"/>
  <c r="B9" i="1" l="1"/>
  <c r="B24" i="1"/>
  <c r="B32" i="1" l="1"/>
  <c r="B36" i="1" s="1"/>
</calcChain>
</file>

<file path=xl/sharedStrings.xml><?xml version="1.0" encoding="utf-8"?>
<sst xmlns="http://schemas.openxmlformats.org/spreadsheetml/2006/main" count="553" uniqueCount="290">
  <si>
    <t>TOTAL</t>
  </si>
  <si>
    <t>Staff</t>
  </si>
  <si>
    <t>Sub-total</t>
  </si>
  <si>
    <t>International freight &amp; supply management</t>
  </si>
  <si>
    <t>Country-level SMC commodities</t>
  </si>
  <si>
    <t>COVID-19 commodities</t>
  </si>
  <si>
    <t>Other SMC commodities</t>
  </si>
  <si>
    <t>Supply management</t>
  </si>
  <si>
    <t>SMC delivery</t>
  </si>
  <si>
    <t>Planning</t>
  </si>
  <si>
    <t>Community engagement</t>
  </si>
  <si>
    <t>Training &amp; implementation tools</t>
  </si>
  <si>
    <t>Administration of SMC medicines</t>
  </si>
  <si>
    <t>Supervision</t>
  </si>
  <si>
    <t>M&amp;E</t>
  </si>
  <si>
    <t>Malaria Consortium operational costs</t>
  </si>
  <si>
    <t>Equipment</t>
  </si>
  <si>
    <t>Overheads</t>
  </si>
  <si>
    <t>Staff &amp; consultants</t>
  </si>
  <si>
    <t>Travel &amp; meetings</t>
  </si>
  <si>
    <t>Equipment &amp; other operational costs</t>
  </si>
  <si>
    <t>Medicines &amp; freight</t>
  </si>
  <si>
    <t>Medicines</t>
  </si>
  <si>
    <t>Intervention delivery</t>
  </si>
  <si>
    <t>Other commodities</t>
  </si>
  <si>
    <t>Number of children</t>
  </si>
  <si>
    <t>Number of cycles</t>
  </si>
  <si>
    <t>Cost per child and cycle</t>
  </si>
  <si>
    <t>Staff &amp; consultancies</t>
  </si>
  <si>
    <t>Jan-Dec 25</t>
  </si>
  <si>
    <t>Notes</t>
  </si>
  <si>
    <t>Budget item</t>
  </si>
  <si>
    <t xml:space="preserve">UNICEF donated SPAQ for use in the 2024 SMC round. SPAQ procured by Malaria Consortium for 2024 will be used in 2025, so no additional medicines will need to be procured </t>
  </si>
  <si>
    <t>Activity Budget worksheet</t>
  </si>
  <si>
    <t>SMC SOUTH SUDAN Yr 4</t>
  </si>
  <si>
    <t>Budget assumption, Calculation and values</t>
  </si>
  <si>
    <t>Activity Description</t>
  </si>
  <si>
    <t>Expense description</t>
  </si>
  <si>
    <t>Measurement unit</t>
  </si>
  <si>
    <t>Unit Cost (USD)</t>
  </si>
  <si>
    <t>Number of Units</t>
  </si>
  <si>
    <t>Total costs in US$</t>
  </si>
  <si>
    <t>Budget assumption sources</t>
  </si>
  <si>
    <t xml:space="preserve">Date of implmentation </t>
  </si>
  <si>
    <t>Procurement of equipment for BHWs</t>
  </si>
  <si>
    <t>Bag to Carry Medicines</t>
  </si>
  <si>
    <t>Per Pieces</t>
  </si>
  <si>
    <t>Feb-April 2025</t>
  </si>
  <si>
    <t xml:space="preserve">T.Shirts round Neck </t>
  </si>
  <si>
    <t>Bicycles maintenance for supervisors</t>
  </si>
  <si>
    <t xml:space="preserve">Change spare parts of 36  Bicycles BHWs Supervisors and town criers , Aweil South and Aweil West </t>
  </si>
  <si>
    <t xml:space="preserve">Gumboot </t>
  </si>
  <si>
    <t xml:space="preserve">pairs </t>
  </si>
  <si>
    <t xml:space="preserve">60 pairs of  gumboots for new BHWs and new BHWS to use during cycle in rainy season  in Aweil South and West </t>
  </si>
  <si>
    <t xml:space="preserve">per PKT </t>
  </si>
  <si>
    <t xml:space="preserve">Chalk </t>
  </si>
  <si>
    <t>per PKT</t>
  </si>
  <si>
    <t xml:space="preserve">105 Pkt chalks for house marking during campaign </t>
  </si>
  <si>
    <t>Plastic cup</t>
  </si>
  <si>
    <t>per Pieces</t>
  </si>
  <si>
    <t>small size 200 ml for giving children dispersable SPAQ</t>
  </si>
  <si>
    <t xml:space="preserve">60 pcs of  rain coat for new BHWs and new BHWS to use during cycle in rainy season  in Aweil South and West </t>
  </si>
  <si>
    <t>pcs</t>
  </si>
  <si>
    <t>Pen</t>
  </si>
  <si>
    <t xml:space="preserve">28 pkt pens for BHWS to use during cycles </t>
  </si>
  <si>
    <t xml:space="preserve">Training of supervisors  and HFs in charges Aweil South and West </t>
  </si>
  <si>
    <t>Hall hire</t>
  </si>
  <si>
    <t>Per Venue</t>
  </si>
  <si>
    <t xml:space="preserve">Hall hire for $100, 3 days trainings in 2 centers in Aweil south and west counties </t>
  </si>
  <si>
    <t xml:space="preserve">Training of supervisors  and HFs incharges Aweil South and West </t>
  </si>
  <si>
    <t>Accomodation for participants</t>
  </si>
  <si>
    <t>Per Person</t>
  </si>
  <si>
    <t xml:space="preserve">Lunch and refereshment </t>
  </si>
  <si>
    <t xml:space="preserve">breakfast </t>
  </si>
  <si>
    <t>Dinner allowance</t>
  </si>
  <si>
    <t>Transport refund</t>
  </si>
  <si>
    <t>18 supervisors and 25 HF coordinators  from Aweil South and Aweil West given transport refund to and from, first day of arrival and last day for training</t>
  </si>
  <si>
    <t xml:space="preserve">SMOH and  CHD  Perdiem allowance to supervise the training </t>
  </si>
  <si>
    <t xml:space="preserve"> 1 SMOH, 2 CHD Staff per County to supervise training. </t>
  </si>
  <si>
    <t>MC facilitation Allowance</t>
  </si>
  <si>
    <t>Printing &amp; stationary</t>
  </si>
  <si>
    <t>LMSM</t>
  </si>
  <si>
    <t xml:space="preserve">Training of BHWs  and town criers at Boma Level in Aweil west and South and refugee Camp </t>
  </si>
  <si>
    <t xml:space="preserve">Printing &amp; stationary </t>
  </si>
  <si>
    <t xml:space="preserve">per station </t>
  </si>
  <si>
    <t xml:space="preserve">cost of printing and stationaries for the training </t>
  </si>
  <si>
    <t xml:space="preserve">Accommdation for the participants </t>
  </si>
  <si>
    <t xml:space="preserve">per person </t>
  </si>
  <si>
    <t xml:space="preserve"> 10  MC staff  and SMOH staff that will facilitate the training of BHWS </t>
  </si>
  <si>
    <t>Development and printing of implementation tools Aweil north county</t>
  </si>
  <si>
    <t>Child record cards</t>
  </si>
  <si>
    <t>Per child</t>
  </si>
  <si>
    <t>Community engagement-Development and printing of IEC</t>
  </si>
  <si>
    <t>Medecines and Pharmaceutical products</t>
  </si>
  <si>
    <t>MRDT Test kits</t>
  </si>
  <si>
    <t>Per Pkt</t>
  </si>
  <si>
    <t>Supply management/Ware housing and Transportation of SPAQ</t>
  </si>
  <si>
    <t>Loading and offloading</t>
  </si>
  <si>
    <t>Lumpsum</t>
  </si>
  <si>
    <t xml:space="preserve"> Loading and offloanding at all levels, Juba Stores, Aweil stores and airports</t>
  </si>
  <si>
    <t>Feb-Oct 2025</t>
  </si>
  <si>
    <t>Transportation of materials from Juba to Aweil</t>
  </si>
  <si>
    <t>Distribution and administration of SMC</t>
  </si>
  <si>
    <t xml:space="preserve">BHWS  monthly Incentives </t>
  </si>
  <si>
    <t>324  BHWs are paid $25/month for each cycle for SPAQ distribution for 5 months (141  Aweil South and 183 Aweil West)</t>
  </si>
  <si>
    <t>June-Oct-2025</t>
  </si>
  <si>
    <t xml:space="preserve">BHW Supervisors  monthly incentives </t>
  </si>
  <si>
    <t>18 Supervisors are paid $100/month for 5  cycles of SPAQ Distribution ( 10 Aweil west and  8 Aweil South)</t>
  </si>
  <si>
    <t>Facility health coordinators and town criers monthly allowance</t>
  </si>
  <si>
    <t>25 Facility health cordinators  paid $25/ month for 5 cycles ( 9 Aweil South, 16 Aweil West)  and 18 town criers  paid $25/month for 5 cycles, this is paid as  an allowance</t>
  </si>
  <si>
    <t>Perdiem for SMOH, CHD and IP supportive supervision</t>
  </si>
  <si>
    <t xml:space="preserve">supportive supervision during Campaign in Aweil South and Aweil West for 5 cycles </t>
  </si>
  <si>
    <t>Per Flight</t>
  </si>
  <si>
    <t>June-Augst -Oct-2025</t>
  </si>
  <si>
    <t xml:space="preserve">Airtime for coordination and communication during camapign and tablets configuration and upload of the Data to CTO Saver during LQAS survey </t>
  </si>
  <si>
    <t>MC staff and BHW Supervisors to get Airtime during Camapaign and LQAS survey for 5  cycles</t>
  </si>
  <si>
    <t xml:space="preserve">M and E tools printing </t>
  </si>
  <si>
    <t>lmsm</t>
  </si>
  <si>
    <t>NMOH staff Daily Safari-day Allowance</t>
  </si>
  <si>
    <t>Oversight supportive supervision, NMOH Juba level supporting atleast 2 cycles in addition to SMOH, 2 persons each 4 days</t>
  </si>
  <si>
    <t>MC Juba staff Flight</t>
  </si>
  <si>
    <t>June-Sept-2025</t>
  </si>
  <si>
    <t>MC Juba Staff Perdiem and accomodation</t>
  </si>
  <si>
    <t xml:space="preserve">CHD-level end of cycle  review meeting Aweil South and West </t>
  </si>
  <si>
    <t>Venue hire</t>
  </si>
  <si>
    <t>A venue per cycle for 5  cycles in Aweil South and Aweil West Counties</t>
  </si>
  <si>
    <t>July-Nov-25</t>
  </si>
  <si>
    <t>Lunch and Refreshment</t>
  </si>
  <si>
    <t xml:space="preserve">10 at SMOH, 10 county level, CMO, HR, PHC, BHW Supervisors, Executive directors from county, County RRC, Police chief, Incharges for 5  cycles </t>
  </si>
  <si>
    <t>End of the cycle Survey</t>
  </si>
  <si>
    <t>Vehicle Hire</t>
  </si>
  <si>
    <t>Per Trip</t>
  </si>
  <si>
    <t>June-Sept-25</t>
  </si>
  <si>
    <t xml:space="preserve">LQAS Data Collectors incentiives </t>
  </si>
  <si>
    <t>41  Data collectors ( 20 Aweil south and 21 Aweil West  counties @25  per person for 3 days for 4 months</t>
  </si>
  <si>
    <t>July-Sept-25</t>
  </si>
  <si>
    <t xml:space="preserve">End of the cycle Survey data collectors training </t>
  </si>
  <si>
    <t>per person</t>
  </si>
  <si>
    <t>2 MC facilitators to train data collectors</t>
  </si>
  <si>
    <t>July-Sept-24</t>
  </si>
  <si>
    <t>Lunch and refreshments and breakfast, Dinner</t>
  </si>
  <si>
    <t xml:space="preserve"> 41 participants ( breakfast $5, Lunch $10 and dinner$5 for the 3 day training  in Aweil South and West Counties </t>
  </si>
  <si>
    <t xml:space="preserve">supervisors will supervise data collection </t>
  </si>
  <si>
    <t>End of the Round Survey</t>
  </si>
  <si>
    <t xml:space="preserve">external consultant to conduct end of Round Survey in Aweil South and Aweil West </t>
  </si>
  <si>
    <t>Staffing</t>
  </si>
  <si>
    <t>Country Director</t>
  </si>
  <si>
    <t>Per Month</t>
  </si>
  <si>
    <t>Country director to provide strategic and overall oversight for the project</t>
  </si>
  <si>
    <t>Country Technical Cordinator</t>
  </si>
  <si>
    <t>CTC to provide project technical oversight and direction to the project team</t>
  </si>
  <si>
    <t>Country Finance Manager</t>
  </si>
  <si>
    <t>CFM to provide financial oversight in terms of reporting</t>
  </si>
  <si>
    <t>Aweil Field Cordinator</t>
  </si>
  <si>
    <t>Aweil FC to provide overall field oversight at the field level</t>
  </si>
  <si>
    <t>Finance Management Accountant</t>
  </si>
  <si>
    <t>FMA to prepare financial reports, BVA reports or any budget realignments</t>
  </si>
  <si>
    <t>SMC Project Manager</t>
  </si>
  <si>
    <t>Aweil field based Staff ($4,272 for 12 months, 100%) Monthly Unit costs includes basic pay, NSIF, medical insurance, Comm, others</t>
  </si>
  <si>
    <t>Project manager to oversee day to day running of activities and manage project team in the field</t>
  </si>
  <si>
    <t>SMC Research Coodinator</t>
  </si>
  <si>
    <t>SMC M and E officer</t>
  </si>
  <si>
    <t>Aweil field based Staff ($4,577 for 12 months, 100%) Monthly Unit costs includes basic pay, NSIF, medical insurance, Comm, others</t>
  </si>
  <si>
    <t>M&amp;Es for the two counties, in charge of data collection, analysis and reporting</t>
  </si>
  <si>
    <t>Logistics Officer and Procurement Officer</t>
  </si>
  <si>
    <t>Aweil field based Staff ($1,671 for 12 months, 100%) Monthly Unit costs includes basic pay, NSIF, medical insurance, Comm, others</t>
  </si>
  <si>
    <t>Logistics and procurement officer to cordinate all project related logistics with Juba office</t>
  </si>
  <si>
    <t>2 SMC Field Officers</t>
  </si>
  <si>
    <t>Field officers to oversee activities in the respective counties</t>
  </si>
  <si>
    <t>Community Mobilisation Officer</t>
  </si>
  <si>
    <t>Community officer to oversee activities relating to community engagements during SPAQ</t>
  </si>
  <si>
    <t>2 Aweil Drivers</t>
  </si>
  <si>
    <t>Aweil field based Staff ($1,981 for 2 drivers for 12 months, 100%) Monthly Unit costs includes basic pay, NSIF, medical insurance, Comm, others</t>
  </si>
  <si>
    <t>Driver to provide logistical and transport staff across counties while conducting activities</t>
  </si>
  <si>
    <t>Logistics Manager-Juba</t>
  </si>
  <si>
    <t>Juba based national staff salaries($3,773 for 12 months, 30% LOE GW) Monthly Unit costs includes basic pay, NSIF, medical insurance, Comm, others</t>
  </si>
  <si>
    <t>Logistics manager to oversee procurement related activites and cordinate with HQ &amp; Aweil office on logistics and SPAQ movements</t>
  </si>
  <si>
    <t>Juba based national staff salaries($3,754 for 12 months, 30% LOE GW) Monthly Unit costs includes basic pay, NSIF, medical insurance, Comm, others</t>
  </si>
  <si>
    <t>HR to oversee project recruitments, perfomance appraisals and anyother HR related activities</t>
  </si>
  <si>
    <t>Finance Officer-Aweil</t>
  </si>
  <si>
    <t>Finance Officer Aweil to oversee all finance related functions in the Aweil office</t>
  </si>
  <si>
    <t>Juba based national staff salaries($3,158 for 12 months, 30% LOE GW) Monthly Unit costs includes basic pay, NSIF, medical insurance, Comm, others</t>
  </si>
  <si>
    <t xml:space="preserve">Senior finance Juba in charge of posting project related entries in system </t>
  </si>
  <si>
    <t>Finance officer Juba in charge of ensuring bank instructions are processed, cash &amp; bank mgt</t>
  </si>
  <si>
    <t>Juba based national staff salaries($1,689 for 12 months, 30% LOE GW) Monthly Unit costs includes basic pay, NSIF, medical insurance, Comm, others</t>
  </si>
  <si>
    <t>ICT officer to support setting IT related functions relating to project, Laptops, Email exchange</t>
  </si>
  <si>
    <t>3 Drivers-Juba</t>
  </si>
  <si>
    <t>Juba based national staff salaries($2,971 for 3 staff for 12 months, 30% LOE GW) Monthly Unit costs includes basic pay, NSIF, medical insurance, Comm, others</t>
  </si>
  <si>
    <t>Drivers in Juba to support staff movemet</t>
  </si>
  <si>
    <t>2 Cleaners-Juba</t>
  </si>
  <si>
    <t>Juba based national staff salaries($1,705 for 2 staff for 12 months, 30% LOE GW) Monthly Unit costs includes basic pay, NSIF, medical insurance, Comm, others</t>
  </si>
  <si>
    <t>Monthly Unit costs includes basic pay, NSIF, medical insurance, Comm, others</t>
  </si>
  <si>
    <t>HR and Administrative assistant</t>
  </si>
  <si>
    <t>Juba based national staff salaries($1,457 for 12 months 100% LOE GW) Monthly Unit costs includes basic pay, NSIF, medical insurance, Comm, others</t>
  </si>
  <si>
    <t>HR admin to solely be responsible for all SMC staff files, support HR manager in her functions</t>
  </si>
  <si>
    <t>Aweil Operational Costs</t>
  </si>
  <si>
    <t>Fuel for Supportive Supervision</t>
  </si>
  <si>
    <t>Aweil Office Stationaries</t>
  </si>
  <si>
    <t>Ball pens, Spring files, A4-A3 Printing papers, Flip charts, clear bags, markers, short hand books, calculators</t>
  </si>
  <si>
    <t>Attached separate tab with workings for the different assumptions</t>
  </si>
  <si>
    <t>Aweil Office Utilities and Services</t>
  </si>
  <si>
    <t>Office drinking water, toners for printer, first aid box refill</t>
  </si>
  <si>
    <t>Other project support expenses</t>
  </si>
  <si>
    <t>Bank/agent fees for processing BHWs incentives and perdiems to other personnel</t>
  </si>
  <si>
    <t>Bank agent fees for paying incentives and perdiems to BHWS and personnel in the field both Aweil South and West</t>
  </si>
  <si>
    <t>Internet Aweil</t>
  </si>
  <si>
    <t>Security Aweil</t>
  </si>
  <si>
    <t>Aweil Office/GH Rent</t>
  </si>
  <si>
    <t>Juba Operational Costs</t>
  </si>
  <si>
    <t>Juba Office Rent</t>
  </si>
  <si>
    <t>Juba Office Utilities</t>
  </si>
  <si>
    <t>Juba GuestHouse Rent</t>
  </si>
  <si>
    <t>Juba Internet</t>
  </si>
  <si>
    <t>Monthly</t>
  </si>
  <si>
    <t>Quarterly</t>
  </si>
  <si>
    <t>Office Costs (Stationery, Supplies, etc) Juba</t>
  </si>
  <si>
    <t>Vehicle fuel repairs, Servicing &amp; Maintenance-Juba</t>
  </si>
  <si>
    <t>Bank Charges-Juba</t>
  </si>
  <si>
    <t xml:space="preserve">Generator Maintenance </t>
  </si>
  <si>
    <t>Motor Bikes issurance and maintenance</t>
  </si>
  <si>
    <t>Provide for repair costs, SMC Staff Motorbikes and Insurance</t>
  </si>
  <si>
    <t>Generator Minor repairs</t>
  </si>
  <si>
    <t>Rain coats</t>
  </si>
  <si>
    <t>Digital thermometer</t>
  </si>
  <si>
    <t xml:space="preserve">Dry cells ( batteries ) for Mega phone </t>
  </si>
  <si>
    <t xml:space="preserve">Developing and printing Community engement materials and messages and community activities </t>
  </si>
  <si>
    <t>June-Oct 2025</t>
  </si>
  <si>
    <t xml:space="preserve">To develop and print SBCC materials and community activities </t>
  </si>
  <si>
    <t>Flight Cost, approx $5,000 to transport Supplies from Juba airport to Aweil airstrip</t>
  </si>
  <si>
    <t>Transport refund for participants</t>
  </si>
  <si>
    <t>Approx 2 cars to support EOC LQAS  for Aweil west, South  counties for 3 days @$300 dry lease</t>
  </si>
  <si>
    <t xml:space="preserve">Hire external consultant to conduct EOR survey </t>
  </si>
  <si>
    <t>Office Internet, 40% to GW</t>
  </si>
  <si>
    <t>Office Security, 40% to GW</t>
  </si>
  <si>
    <t>Aweil Office Rent, 40% LOE GW</t>
  </si>
  <si>
    <t>Juba Office Goshen Rent, 40% LOE</t>
  </si>
  <si>
    <t>Juba Office Goshen Utilities, 40% LOE</t>
  </si>
  <si>
    <t>Juba GuestHouse Rent for 3 Expat Staff, 40% LOE</t>
  </si>
  <si>
    <t>Juba Office Internet Internet, 40% LOE</t>
  </si>
  <si>
    <t xml:space="preserve">Hall hire for $100, 2 days trainings in 2 centers in Aweil south and west counties </t>
  </si>
  <si>
    <t>Training stationary for 43  participants including facilitors for 2 days</t>
  </si>
  <si>
    <t>Senior Finance Officer-Juba</t>
  </si>
  <si>
    <t>HR and Admin Manager-Juba</t>
  </si>
  <si>
    <t>ICT and Asset management Officer-Juba</t>
  </si>
  <si>
    <t>Finance Assistant-Juba</t>
  </si>
  <si>
    <t>For new BHWS and replaced one in Aweil West and south, approx 60 t.shirts @$10</t>
  </si>
  <si>
    <t>125 pairs of Dry Cells (batteries) 1.5V for 18 Megaphones for social mobilization, to be used across 5 cycles</t>
  </si>
  <si>
    <t>324 digital thermometers to measure temperature during 5 cycles</t>
  </si>
  <si>
    <t xml:space="preserve"> MC Facilitators &amp; SMOH Perdiem</t>
  </si>
  <si>
    <t>Aweil field based Staff ($3,962 for 12 months, 100%) Monthly Unit costs includes basic pay, NSIF, medical insurance, Comm, others</t>
  </si>
  <si>
    <t>Aweil field based Staff ($2,289 for 12 months, 100%) Monthly Unit costs includes basic pay, NSIF, medical insurance, Comm, others</t>
  </si>
  <si>
    <t>Juba based national staff salaries($1,457 for 12 months, 30% LOE GW) Monthly Unit costs includes basic pay, NSIF, medical insurance, Comm, others</t>
  </si>
  <si>
    <t>60 bags for new BHWs and possible drop out in Aweil South and Aweil West to cary SPAQ and M and E tools and protect from Rain</t>
  </si>
  <si>
    <t>18 supervisors and 25 HF coordinators  from Aweil South and Aweil West  accommodated trained for 1 days</t>
  </si>
  <si>
    <t>18 supervisors and 25 HF coordinators  from Aweil South and Aweil lunch and  tea and water in the  training for 1 days</t>
  </si>
  <si>
    <t>18 supervisors and 25 HF coordinators  from Aweil South and Aweil Wes to have breakfast  during training for 1 days</t>
  </si>
  <si>
    <t>18 supervisors and 25 HF coordinators  from Aweil South and Aweil Wes  given dinner for the 1 days training</t>
  </si>
  <si>
    <t>MC Staff given facilitation allowance for training for 1 day, 3 pax per county</t>
  </si>
  <si>
    <t>2 Hall hire in different payams as the volunteers will be split up in multiple groups. Training for 3 days in Aweil South and West Counties @$50</t>
  </si>
  <si>
    <t>7 Hall hire in different payams as the volunteers will be split up in multiple groups. Training for 1 days in Aweil South and West Counties @$50</t>
  </si>
  <si>
    <t>269 BHWs + 18 town criers training for 1 days in Aweil West and South counties</t>
  </si>
  <si>
    <t>269  BHWs + 18 town criers training for 1 days in Aweil West and South counties no Dinner to Refugee camp staff</t>
  </si>
  <si>
    <t xml:space="preserve">269  BHWs  and 18 town criers in Aweil south and West no transport refund to Refugee camp go and pro </t>
  </si>
  <si>
    <t xml:space="preserve">55 New BHWs in Aweil south and West no transport refund to Refugee camp go and pro </t>
  </si>
  <si>
    <t>55 New BHWs  from Aweil South and West Lunch &amp; Refreshment in one location trained for 3 days</t>
  </si>
  <si>
    <t>55 New BHWs training for 2 days in Aweil West and South counties no Dinner to Refugee camp staff</t>
  </si>
  <si>
    <t>55 New BHWs training for 3 days in Aweil West and South counties</t>
  </si>
  <si>
    <t>55 New BHWs  from Aweil South and West accommodated in one location trained for 3 days</t>
  </si>
  <si>
    <t>269 BHWs  and 17 town criers  from Aweil South and West accommodated in one location trained for 1 days</t>
  </si>
  <si>
    <t xml:space="preserve"> 77640 cards, 1 card per child; 1 page, cardboard, A5, colour  @$0.30 per card</t>
  </si>
  <si>
    <t>Approx 10 packets (25 test)of mrdts to be purchased for  running samples of chidren given SPAQ</t>
  </si>
  <si>
    <t>Fuel for SPAQ Administration</t>
  </si>
  <si>
    <t>Liters</t>
  </si>
  <si>
    <t>400 liters of fuel used per cycle for 5 cycles, approx $2</t>
  </si>
  <si>
    <t xml:space="preserve"> printing of tally sheets, daily summary forms,  end of cycle reports forms, referral forms 500 months for 5 months </t>
  </si>
  <si>
    <t>Oversight supportive supervision, Round trip via UNHAS WFP Ticket @$300 for 3 persons visit 2 times in the round of 2025</t>
  </si>
  <si>
    <t>Flights 3 NMOH staff ( 1 NMCP, 1 BHI, Research &amp; M&amp;E</t>
  </si>
  <si>
    <t>Oversight supportive supervision, $550 round trip for 3 cycles for 3 Juba staff (CD, CTC, logistics manager)</t>
  </si>
  <si>
    <t>$22 Perdiem for 3 MC staff for 5 days for atleast 3 cycles</t>
  </si>
  <si>
    <t>Facilitators perdiem</t>
  </si>
  <si>
    <t>Per diem for MC and SMOH staff supervision during  data collection</t>
  </si>
  <si>
    <t>70  persons per 3 cycles @$20 in Aweil South and Aweil west counties</t>
  </si>
  <si>
    <t>Approx 20000 ltrs of fuel @$2 for Supportive Supervision, generator and field activities</t>
  </si>
  <si>
    <t>Aweil field based staff ($1,873 for 6months, 100%) Monthly Unit costs includes basic pay, NSIF, medical insurance, Comm, others</t>
  </si>
  <si>
    <t>Juba based International staff salaries ($11,568 for 12 months, 25% LOE Month Unit cost includes basic pay, NSIF, Medical insurance, RnR, home leave flight, others</t>
  </si>
  <si>
    <t>Juba based International staff salaries ($8545 for 12 months, 25% LOE) Monthly Unit costs includes basic pay, NSIF, medical insurance, RnR, Home flight, others</t>
  </si>
  <si>
    <t>Juba based International staff salaries ($8,378 for 12 months, 25% LOE GW) Monthly Unit costs includes basic pay, NSIF, medical insurance, RnR, Home flight, others</t>
  </si>
  <si>
    <t>Juba based International staff salaries ($8545 for 12 months, 30% LOE GW) Monthly Unit costs includes basic pay, NSIF, medical insurance, RnR, Home flight, others</t>
  </si>
  <si>
    <t>Juba based International staff salaries ($4974 for 12 months, 30% LOE GW) Monthly Unit costs includes basic pay, NSIF, medical insurance, RnR, Home flight, others</t>
  </si>
  <si>
    <t>Planning data from 2024 will apply - no further planning costs anticipated given small scale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</si>
</sst>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 #,##0_-;_-* &quot;-&quot;_-;_-@_-"/>
    <numFmt numFmtId="165" formatCode="_-* #,##0.00_-;\-* #,##0.00_-;_-* &quot;-&quot;??_-;_-@_-"/>
    <numFmt numFmtId="166" formatCode="_-* #,##0.00\ _€_-;\-* #,##0.00\ _€_-;_-* &quot;-&quot;??\ _€_-;_-@_-"/>
    <numFmt numFmtId="167" formatCode="_-* #,##0_-;\-* #,##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2"/>
    </font>
    <font>
      <sz val="10"/>
      <name val="Arial"/>
      <family val="2"/>
    </font>
    <font>
      <sz val="11"/>
      <color indexed="8"/>
      <name val="Calibri"/>
      <family val="2"/>
    </font>
    <font>
      <sz val="12"/>
      <name val="Arial"/>
      <family val="2"/>
    </font>
    <font>
      <sz val="11"/>
      <color rgb="FF000000"/>
      <name val="Calibri"/>
      <family val="2"/>
      <scheme val="minor"/>
    </font>
    <font>
      <b/>
      <sz val="11"/>
      <color rgb="FF000000"/>
      <name val="Calibri"/>
      <family val="2"/>
      <scheme val="minor"/>
    </font>
    <font>
      <sz val="12"/>
      <color theme="1"/>
      <name val="Calibri"/>
      <family val="2"/>
      <scheme val="minor"/>
    </font>
    <font>
      <sz val="11"/>
      <name val="Calibri"/>
      <family val="2"/>
    </font>
    <font>
      <b/>
      <sz val="11"/>
      <name val="Calibri"/>
      <family val="2"/>
    </font>
    <font>
      <sz val="11"/>
      <name val="Calibri"/>
      <family val="2"/>
      <scheme val="minor"/>
    </font>
    <font>
      <b/>
      <sz val="18"/>
      <name val="Calibri"/>
      <family val="2"/>
      <scheme val="minor"/>
    </font>
    <font>
      <sz val="10"/>
      <name val="Calibri"/>
      <family val="2"/>
      <scheme val="minor"/>
    </font>
    <font>
      <b/>
      <sz val="10"/>
      <name val="Calibri"/>
      <family val="2"/>
      <scheme val="minor"/>
    </font>
    <font>
      <i/>
      <sz val="10"/>
      <name val="Calibri"/>
      <family val="2"/>
      <scheme val="minor"/>
    </font>
    <font>
      <b/>
      <sz val="16"/>
      <color theme="0"/>
      <name val="Calibri"/>
      <family val="2"/>
      <scheme val="minor"/>
    </font>
    <font>
      <b/>
      <sz val="10"/>
      <color theme="0"/>
      <name val="Calibri"/>
      <family val="2"/>
      <scheme val="minor"/>
    </font>
    <font>
      <sz val="10"/>
      <color theme="1"/>
      <name val="Calibri"/>
      <family val="2"/>
    </font>
    <font>
      <sz val="10"/>
      <color indexed="8"/>
      <name val="Calibri"/>
      <family val="2"/>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00B3E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9">
    <xf numFmtId="0" fontId="0" fillId="0" borderId="0"/>
    <xf numFmtId="0" fontId="3" fillId="0" borderId="0"/>
    <xf numFmtId="166" fontId="4" fillId="0" borderId="0" applyFont="0" applyFill="0" applyBorder="0" applyAlignment="0" applyProtection="0"/>
    <xf numFmtId="164" fontId="4" fillId="0" borderId="0" applyFont="0" applyFill="0" applyBorder="0" applyAlignment="0" applyProtection="0"/>
    <xf numFmtId="0" fontId="5" fillId="0" borderId="0"/>
    <xf numFmtId="166" fontId="1" fillId="0" borderId="0" applyFont="0" applyFill="0" applyBorder="0" applyAlignment="0" applyProtection="0"/>
    <xf numFmtId="165" fontId="4" fillId="0" borderId="0" applyFont="0" applyFill="0" applyBorder="0" applyAlignment="0" applyProtection="0"/>
    <xf numFmtId="0" fontId="1" fillId="0" borderId="0"/>
    <xf numFmtId="164" fontId="1" fillId="0" borderId="0" applyFont="0" applyFill="0" applyBorder="0" applyAlignment="0" applyProtection="0"/>
    <xf numFmtId="0" fontId="4" fillId="0" borderId="0"/>
    <xf numFmtId="0" fontId="1" fillId="0" borderId="0"/>
    <xf numFmtId="0" fontId="1" fillId="0" borderId="0"/>
    <xf numFmtId="37" fontId="6"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 fillId="0" borderId="0"/>
    <xf numFmtId="165" fontId="4"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5" fillId="0" borderId="0"/>
    <xf numFmtId="166" fontId="1" fillId="0" borderId="0" applyFont="0" applyFill="0" applyBorder="0" applyAlignment="0" applyProtection="0"/>
    <xf numFmtId="0" fontId="9" fillId="0" borderId="0"/>
    <xf numFmtId="0" fontId="1" fillId="0" borderId="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0" fontId="19" fillId="0" borderId="0"/>
    <xf numFmtId="165" fontId="20" fillId="0" borderId="0" applyFont="0" applyFill="0" applyBorder="0" applyAlignment="0" applyProtection="0"/>
    <xf numFmtId="43" fontId="1" fillId="0" borderId="0" applyFont="0" applyFill="0" applyBorder="0" applyAlignment="0" applyProtection="0"/>
  </cellStyleXfs>
  <cellXfs count="161">
    <xf numFmtId="0" fontId="0" fillId="0" borderId="0" xfId="0"/>
    <xf numFmtId="3" fontId="0" fillId="0" borderId="0" xfId="0" applyNumberFormat="1" applyAlignment="1">
      <alignment vertical="center" wrapText="1"/>
    </xf>
    <xf numFmtId="0" fontId="0" fillId="0" borderId="0" xfId="0" applyAlignment="1">
      <alignment vertical="center" wrapText="1"/>
    </xf>
    <xf numFmtId="0" fontId="2" fillId="0" borderId="0" xfId="0" applyFont="1" applyAlignment="1">
      <alignment vertical="center" wrapText="1"/>
    </xf>
    <xf numFmtId="3" fontId="2" fillId="0" borderId="0" xfId="0" applyNumberFormat="1" applyFont="1" applyAlignment="1">
      <alignment vertical="center" wrapText="1"/>
    </xf>
    <xf numFmtId="0" fontId="2" fillId="3" borderId="0" xfId="0" applyFont="1" applyFill="1" applyAlignment="1">
      <alignment vertical="center" wrapText="1"/>
    </xf>
    <xf numFmtId="3" fontId="2" fillId="3" borderId="0" xfId="0" applyNumberFormat="1" applyFont="1" applyFill="1" applyAlignment="1">
      <alignment vertical="center" wrapText="1"/>
    </xf>
    <xf numFmtId="0" fontId="2" fillId="2" borderId="0" xfId="0" applyFont="1" applyFill="1" applyAlignment="1">
      <alignment vertical="center" wrapText="1"/>
    </xf>
    <xf numFmtId="3" fontId="2" fillId="2" borderId="0" xfId="0" applyNumberFormat="1" applyFont="1" applyFill="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applyAlignment="1">
      <alignment vertical="center" wrapText="1"/>
    </xf>
    <xf numFmtId="0" fontId="7" fillId="0" borderId="0" xfId="0" applyFont="1" applyAlignment="1">
      <alignment vertical="center" wrapText="1"/>
    </xf>
    <xf numFmtId="0" fontId="0" fillId="0" borderId="0" xfId="0" applyAlignment="1">
      <alignment horizontal="left" vertical="center" wrapText="1"/>
    </xf>
    <xf numFmtId="4" fontId="0" fillId="0" borderId="0" xfId="0" applyNumberFormat="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11" fillId="3" borderId="0" xfId="0" applyFont="1" applyFill="1" applyAlignment="1">
      <alignment vertical="center" wrapText="1"/>
    </xf>
    <xf numFmtId="0" fontId="11" fillId="2" borderId="0" xfId="0" applyFont="1" applyFill="1" applyAlignment="1">
      <alignment vertical="center" wrapText="1"/>
    </xf>
    <xf numFmtId="0" fontId="12" fillId="0" borderId="0" xfId="0" applyFont="1" applyAlignment="1">
      <alignment vertical="center" wrapText="1"/>
    </xf>
    <xf numFmtId="0" fontId="11" fillId="0" borderId="0" xfId="0" applyFont="1" applyAlignment="1">
      <alignment vertical="top" wrapText="1"/>
    </xf>
    <xf numFmtId="3" fontId="11" fillId="0" borderId="0" xfId="0" applyNumberFormat="1" applyFont="1" applyAlignment="1">
      <alignment vertical="top" wrapText="1"/>
    </xf>
    <xf numFmtId="3" fontId="10" fillId="0" borderId="0" xfId="0" applyNumberFormat="1" applyFont="1" applyAlignment="1">
      <alignment horizontal="left" vertical="top" wrapText="1"/>
    </xf>
    <xf numFmtId="3" fontId="10" fillId="0" borderId="0" xfId="0" applyNumberFormat="1" applyFont="1" applyAlignment="1">
      <alignment vertical="top" wrapText="1"/>
    </xf>
    <xf numFmtId="9" fontId="11" fillId="0" borderId="0" xfId="0" applyNumberFormat="1" applyFont="1" applyAlignment="1">
      <alignment vertical="top" wrapText="1"/>
    </xf>
    <xf numFmtId="0" fontId="10" fillId="0" borderId="0" xfId="0" applyFont="1" applyAlignment="1">
      <alignment vertical="top" wrapText="1"/>
    </xf>
    <xf numFmtId="3" fontId="10" fillId="4" borderId="0" xfId="0" applyNumberFormat="1" applyFont="1" applyFill="1" applyAlignment="1">
      <alignment vertical="top" wrapText="1"/>
    </xf>
    <xf numFmtId="3" fontId="11" fillId="3" borderId="0" xfId="0" applyNumberFormat="1" applyFont="1" applyFill="1" applyAlignment="1">
      <alignment vertical="top" wrapText="1"/>
    </xf>
    <xf numFmtId="3" fontId="10" fillId="3" borderId="0" xfId="0" applyNumberFormat="1" applyFont="1" applyFill="1" applyAlignment="1">
      <alignment horizontal="left" vertical="top" wrapText="1"/>
    </xf>
    <xf numFmtId="9" fontId="10" fillId="0" borderId="0" xfId="0" applyNumberFormat="1" applyFont="1" applyAlignment="1">
      <alignment vertical="top" wrapText="1"/>
    </xf>
    <xf numFmtId="3" fontId="11" fillId="3" borderId="0" xfId="0" applyNumberFormat="1" applyFont="1" applyFill="1" applyAlignment="1">
      <alignment horizontal="left" vertical="top" wrapText="1"/>
    </xf>
    <xf numFmtId="3" fontId="11" fillId="2" borderId="0" xfId="0" applyNumberFormat="1" applyFont="1" applyFill="1" applyAlignment="1">
      <alignment vertical="top" wrapText="1"/>
    </xf>
    <xf numFmtId="3" fontId="10" fillId="2" borderId="0" xfId="0" applyNumberFormat="1" applyFont="1" applyFill="1" applyAlignment="1">
      <alignment horizontal="left" vertical="top" wrapText="1"/>
    </xf>
    <xf numFmtId="4" fontId="10" fillId="0" borderId="0" xfId="0" applyNumberFormat="1" applyFont="1" applyAlignment="1">
      <alignment horizontal="left" vertical="top" wrapText="1"/>
    </xf>
    <xf numFmtId="4" fontId="10" fillId="0" borderId="0" xfId="0" applyNumberFormat="1" applyFont="1" applyAlignment="1">
      <alignment vertical="top" wrapText="1"/>
    </xf>
    <xf numFmtId="0" fontId="10" fillId="0" borderId="0" xfId="0" applyFont="1" applyAlignment="1">
      <alignment horizontal="left" vertical="top" wrapText="1"/>
    </xf>
    <xf numFmtId="0" fontId="11" fillId="2" borderId="0" xfId="0" applyFont="1" applyFill="1" applyAlignment="1">
      <alignment horizontal="center" vertical="center" wrapText="1"/>
    </xf>
    <xf numFmtId="0" fontId="11" fillId="2" borderId="0" xfId="0" applyFont="1" applyFill="1" applyAlignment="1">
      <alignment horizontal="center" vertical="top" wrapText="1"/>
    </xf>
    <xf numFmtId="0" fontId="11" fillId="0" borderId="0" xfId="0" applyFont="1" applyAlignment="1">
      <alignment horizontal="center" vertical="top" wrapText="1"/>
    </xf>
    <xf numFmtId="0" fontId="10" fillId="0" borderId="0" xfId="0" applyFont="1" applyAlignment="1">
      <alignment horizontal="center" vertical="top" wrapText="1"/>
    </xf>
    <xf numFmtId="0" fontId="2" fillId="2" borderId="0" xfId="0" applyFont="1" applyFill="1" applyAlignment="1">
      <alignment horizontal="center" vertical="center" wrapText="1"/>
    </xf>
    <xf numFmtId="0" fontId="13" fillId="0" borderId="0" xfId="0" applyFont="1" applyAlignment="1">
      <alignment horizontal="left" vertical="top"/>
    </xf>
    <xf numFmtId="0" fontId="14" fillId="0" borderId="0" xfId="0" applyFont="1" applyAlignment="1">
      <alignment horizontal="left" vertical="top"/>
    </xf>
    <xf numFmtId="9" fontId="15" fillId="0" borderId="0" xfId="44" applyFont="1" applyAlignment="1">
      <alignment horizontal="center" vertical="top"/>
    </xf>
    <xf numFmtId="9" fontId="14" fillId="0" borderId="0" xfId="44" applyFont="1" applyAlignment="1">
      <alignment horizontal="center" vertical="top"/>
    </xf>
    <xf numFmtId="9" fontId="14" fillId="0" borderId="0" xfId="44" applyFont="1" applyFill="1" applyBorder="1" applyAlignment="1">
      <alignment horizontal="center" vertical="top"/>
    </xf>
    <xf numFmtId="0" fontId="14" fillId="0" borderId="0" xfId="0" applyFont="1" applyAlignment="1">
      <alignment vertical="top"/>
    </xf>
    <xf numFmtId="2" fontId="14" fillId="0" borderId="0" xfId="44" applyNumberFormat="1" applyFont="1" applyAlignment="1">
      <alignment vertical="top"/>
    </xf>
    <xf numFmtId="0" fontId="18" fillId="5" borderId="1" xfId="0" applyFont="1" applyFill="1" applyBorder="1" applyAlignment="1">
      <alignment horizontal="left" vertical="center" wrapText="1"/>
    </xf>
    <xf numFmtId="0" fontId="18" fillId="5" borderId="1" xfId="45" applyFont="1" applyFill="1" applyBorder="1" applyAlignment="1" applyProtection="1">
      <alignment horizontal="left" vertical="center" wrapText="1"/>
      <protection locked="0"/>
    </xf>
    <xf numFmtId="0" fontId="18" fillId="5" borderId="5" xfId="45" applyFont="1" applyFill="1" applyBorder="1" applyAlignment="1" applyProtection="1">
      <alignment horizontal="left" vertical="center" wrapText="1"/>
      <protection locked="0"/>
    </xf>
    <xf numFmtId="0" fontId="18" fillId="5" borderId="5" xfId="46" applyFont="1" applyFill="1" applyBorder="1" applyAlignment="1" applyProtection="1">
      <alignment horizontal="center" vertical="center" wrapText="1"/>
      <protection locked="0"/>
    </xf>
    <xf numFmtId="167" fontId="18" fillId="5" borderId="5" xfId="22" applyNumberFormat="1" applyFont="1" applyFill="1" applyBorder="1" applyAlignment="1" applyProtection="1">
      <alignment horizontal="center" vertical="center" wrapText="1"/>
      <protection locked="0"/>
    </xf>
    <xf numFmtId="0" fontId="18" fillId="5" borderId="5" xfId="46" applyFont="1" applyFill="1" applyBorder="1" applyAlignment="1" applyProtection="1">
      <alignment horizontal="left" vertical="center" wrapText="1"/>
      <protection locked="0"/>
    </xf>
    <xf numFmtId="0" fontId="18" fillId="5" borderId="1" xfId="45" applyFont="1" applyFill="1" applyBorder="1" applyAlignment="1" applyProtection="1">
      <alignment horizontal="center" vertical="center" wrapText="1"/>
      <protection locked="0"/>
    </xf>
    <xf numFmtId="9" fontId="14" fillId="0" borderId="0" xfId="44" applyFont="1" applyAlignment="1">
      <alignment vertical="top" wrapText="1"/>
    </xf>
    <xf numFmtId="0" fontId="14" fillId="0" borderId="0" xfId="0" applyFont="1" applyAlignment="1">
      <alignment vertical="top" wrapText="1"/>
    </xf>
    <xf numFmtId="0" fontId="14" fillId="6" borderId="1" xfId="0" applyFont="1" applyFill="1" applyBorder="1" applyAlignment="1">
      <alignment horizontal="left" vertical="top" wrapText="1"/>
    </xf>
    <xf numFmtId="167" fontId="14" fillId="6" borderId="1" xfId="47" applyNumberFormat="1" applyFont="1" applyFill="1" applyBorder="1" applyAlignment="1" applyProtection="1">
      <alignment horizontal="left" vertical="top" wrapText="1"/>
      <protection locked="0"/>
    </xf>
    <xf numFmtId="3" fontId="14" fillId="6" borderId="1" xfId="46" applyNumberFormat="1" applyFont="1" applyFill="1" applyBorder="1" applyAlignment="1" applyProtection="1">
      <alignment horizontal="left" vertical="top" wrapText="1"/>
      <protection locked="0"/>
    </xf>
    <xf numFmtId="167" fontId="14" fillId="6" borderId="1" xfId="22" applyNumberFormat="1" applyFont="1" applyFill="1" applyBorder="1" applyAlignment="1" applyProtection="1">
      <alignment horizontal="center" vertical="top" wrapText="1"/>
      <protection locked="0"/>
    </xf>
    <xf numFmtId="3" fontId="14" fillId="6" borderId="1" xfId="47" applyNumberFormat="1" applyFont="1" applyFill="1" applyBorder="1" applyAlignment="1" applyProtection="1">
      <alignment horizontal="left" vertical="top" wrapText="1"/>
      <protection locked="0"/>
    </xf>
    <xf numFmtId="0" fontId="14" fillId="6" borderId="0" xfId="0" applyFont="1" applyFill="1" applyAlignment="1">
      <alignment vertical="top"/>
    </xf>
    <xf numFmtId="16" fontId="14" fillId="6" borderId="1" xfId="47" applyNumberFormat="1" applyFont="1" applyFill="1" applyBorder="1" applyAlignment="1" applyProtection="1">
      <alignment vertical="top" wrapText="1"/>
      <protection locked="0"/>
    </xf>
    <xf numFmtId="0" fontId="14" fillId="7" borderId="0" xfId="0" applyFont="1" applyFill="1" applyAlignment="1">
      <alignment vertical="top"/>
    </xf>
    <xf numFmtId="0" fontId="14" fillId="6" borderId="1" xfId="0" applyFont="1" applyFill="1" applyBorder="1" applyAlignment="1">
      <alignment vertical="top" wrapText="1"/>
    </xf>
    <xf numFmtId="0" fontId="14" fillId="8" borderId="1" xfId="0" applyFont="1" applyFill="1" applyBorder="1" applyAlignment="1">
      <alignment horizontal="left" vertical="top" wrapText="1"/>
    </xf>
    <xf numFmtId="167" fontId="14" fillId="8" borderId="1" xfId="47" applyNumberFormat="1" applyFont="1" applyFill="1" applyBorder="1" applyAlignment="1" applyProtection="1">
      <alignment horizontal="left" vertical="top"/>
      <protection locked="0"/>
    </xf>
    <xf numFmtId="3" fontId="14" fillId="8" borderId="1" xfId="46" applyNumberFormat="1" applyFont="1" applyFill="1" applyBorder="1" applyAlignment="1" applyProtection="1">
      <alignment horizontal="left" vertical="top"/>
      <protection locked="0"/>
    </xf>
    <xf numFmtId="165" fontId="14" fillId="8" borderId="1" xfId="22" applyFont="1" applyFill="1" applyBorder="1" applyAlignment="1" applyProtection="1">
      <alignment horizontal="center" vertical="top"/>
      <protection locked="0"/>
    </xf>
    <xf numFmtId="167" fontId="14" fillId="8" borderId="1" xfId="22" applyNumberFormat="1" applyFont="1" applyFill="1" applyBorder="1" applyAlignment="1" applyProtection="1">
      <alignment horizontal="center" vertical="top"/>
      <protection locked="0"/>
    </xf>
    <xf numFmtId="3" fontId="14" fillId="8" borderId="1" xfId="47" applyNumberFormat="1" applyFont="1" applyFill="1" applyBorder="1" applyAlignment="1" applyProtection="1">
      <alignment horizontal="left" vertical="top" wrapText="1"/>
      <protection locked="0"/>
    </xf>
    <xf numFmtId="167" fontId="14" fillId="8" borderId="1" xfId="47" applyNumberFormat="1" applyFont="1" applyFill="1" applyBorder="1" applyAlignment="1" applyProtection="1">
      <alignment vertical="top" wrapText="1"/>
      <protection locked="0"/>
    </xf>
    <xf numFmtId="167" fontId="14" fillId="8" borderId="1" xfId="47" applyNumberFormat="1" applyFont="1" applyFill="1" applyBorder="1" applyAlignment="1" applyProtection="1">
      <alignment horizontal="left" vertical="top" wrapText="1"/>
      <protection locked="0"/>
    </xf>
    <xf numFmtId="3" fontId="14" fillId="8" borderId="1" xfId="47" applyNumberFormat="1" applyFont="1" applyFill="1" applyBorder="1" applyAlignment="1" applyProtection="1">
      <alignment horizontal="left" vertical="top"/>
      <protection locked="0"/>
    </xf>
    <xf numFmtId="167" fontId="0" fillId="0" borderId="0" xfId="0" applyNumberFormat="1"/>
    <xf numFmtId="3" fontId="10" fillId="4" borderId="0" xfId="0" applyNumberFormat="1" applyFont="1" applyFill="1" applyAlignment="1">
      <alignment vertical="center" wrapText="1"/>
    </xf>
    <xf numFmtId="0" fontId="14" fillId="9" borderId="1" xfId="0" applyFont="1" applyFill="1" applyBorder="1" applyAlignment="1">
      <alignment horizontal="left" vertical="top" wrapText="1"/>
    </xf>
    <xf numFmtId="167" fontId="14" fillId="9" borderId="1" xfId="47" applyNumberFormat="1" applyFont="1" applyFill="1" applyBorder="1" applyAlignment="1" applyProtection="1">
      <alignment horizontal="left" vertical="top" wrapText="1"/>
      <protection locked="0"/>
    </xf>
    <xf numFmtId="3" fontId="14" fillId="9" borderId="1" xfId="46" applyNumberFormat="1" applyFont="1" applyFill="1" applyBorder="1" applyAlignment="1" applyProtection="1">
      <alignment horizontal="left" vertical="top" wrapText="1"/>
      <protection locked="0"/>
    </xf>
    <xf numFmtId="167" fontId="14" fillId="9" borderId="1" xfId="22" applyNumberFormat="1" applyFont="1" applyFill="1" applyBorder="1" applyAlignment="1" applyProtection="1">
      <alignment horizontal="center" vertical="top" wrapText="1"/>
      <protection locked="0"/>
    </xf>
    <xf numFmtId="3" fontId="14" fillId="9" borderId="1" xfId="47" applyNumberFormat="1" applyFont="1" applyFill="1" applyBorder="1" applyAlignment="1" applyProtection="1">
      <alignment horizontal="left" vertical="top" wrapText="1"/>
      <protection locked="0"/>
    </xf>
    <xf numFmtId="167" fontId="14" fillId="9" borderId="1" xfId="47" applyNumberFormat="1" applyFont="1" applyFill="1" applyBorder="1" applyAlignment="1" applyProtection="1">
      <alignment vertical="top" wrapText="1"/>
      <protection locked="0"/>
    </xf>
    <xf numFmtId="0" fontId="14" fillId="9" borderId="0" xfId="0" applyFont="1" applyFill="1" applyAlignment="1">
      <alignment vertical="top"/>
    </xf>
    <xf numFmtId="9" fontId="14" fillId="9" borderId="0" xfId="44" applyFont="1" applyFill="1" applyAlignment="1">
      <alignment vertical="top"/>
    </xf>
    <xf numFmtId="0" fontId="14" fillId="10" borderId="1" xfId="0" applyFont="1" applyFill="1" applyBorder="1" applyAlignment="1">
      <alignment horizontal="left" vertical="top" wrapText="1"/>
    </xf>
    <xf numFmtId="167" fontId="14" fillId="10" borderId="1" xfId="47" applyNumberFormat="1" applyFont="1" applyFill="1" applyBorder="1" applyAlignment="1" applyProtection="1">
      <alignment horizontal="left" vertical="top" wrapText="1"/>
      <protection locked="0"/>
    </xf>
    <xf numFmtId="3" fontId="14" fillId="10" borderId="1" xfId="46" applyNumberFormat="1" applyFont="1" applyFill="1" applyBorder="1" applyAlignment="1" applyProtection="1">
      <alignment horizontal="left" vertical="top" wrapText="1"/>
      <protection locked="0"/>
    </xf>
    <xf numFmtId="167" fontId="14" fillId="10" borderId="1" xfId="22" applyNumberFormat="1" applyFont="1" applyFill="1" applyBorder="1" applyAlignment="1" applyProtection="1">
      <alignment horizontal="center" vertical="top" wrapText="1"/>
      <protection locked="0"/>
    </xf>
    <xf numFmtId="3" fontId="14" fillId="10" borderId="1" xfId="47" applyNumberFormat="1" applyFont="1" applyFill="1" applyBorder="1" applyAlignment="1" applyProtection="1">
      <alignment horizontal="left" vertical="top" wrapText="1"/>
      <protection locked="0"/>
    </xf>
    <xf numFmtId="17" fontId="14" fillId="10" borderId="1" xfId="47" applyNumberFormat="1" applyFont="1" applyFill="1" applyBorder="1" applyAlignment="1" applyProtection="1">
      <alignment vertical="top" wrapText="1"/>
      <protection locked="0"/>
    </xf>
    <xf numFmtId="0" fontId="14" fillId="10" borderId="0" xfId="0" applyFont="1" applyFill="1" applyAlignment="1">
      <alignment vertical="top"/>
    </xf>
    <xf numFmtId="14" fontId="14" fillId="10" borderId="1" xfId="47" applyNumberFormat="1" applyFont="1" applyFill="1" applyBorder="1" applyAlignment="1" applyProtection="1">
      <alignment vertical="top" wrapText="1"/>
      <protection locked="0"/>
    </xf>
    <xf numFmtId="16" fontId="14" fillId="10" borderId="1" xfId="47" applyNumberFormat="1" applyFont="1" applyFill="1" applyBorder="1" applyAlignment="1" applyProtection="1">
      <alignment vertical="top" wrapText="1"/>
      <protection locked="0"/>
    </xf>
    <xf numFmtId="0" fontId="14" fillId="11" borderId="1" xfId="0" applyFont="1" applyFill="1" applyBorder="1" applyAlignment="1">
      <alignment horizontal="left" vertical="top" wrapText="1"/>
    </xf>
    <xf numFmtId="167" fontId="14" fillId="11" borderId="1" xfId="47" applyNumberFormat="1" applyFont="1" applyFill="1" applyBorder="1" applyAlignment="1" applyProtection="1">
      <alignment horizontal="left" vertical="top" wrapText="1"/>
      <protection locked="0"/>
    </xf>
    <xf numFmtId="3" fontId="14" fillId="11" borderId="1" xfId="46" applyNumberFormat="1" applyFont="1" applyFill="1" applyBorder="1" applyAlignment="1" applyProtection="1">
      <alignment horizontal="left" vertical="top" wrapText="1"/>
      <protection locked="0"/>
    </xf>
    <xf numFmtId="167" fontId="14" fillId="11" borderId="1" xfId="22" applyNumberFormat="1" applyFont="1" applyFill="1" applyBorder="1" applyAlignment="1" applyProtection="1">
      <alignment horizontal="center" vertical="top" wrapText="1"/>
      <protection locked="0"/>
    </xf>
    <xf numFmtId="3" fontId="14" fillId="11" borderId="1" xfId="47" applyNumberFormat="1" applyFont="1" applyFill="1" applyBorder="1" applyAlignment="1" applyProtection="1">
      <alignment horizontal="left" vertical="top" wrapText="1"/>
      <protection locked="0"/>
    </xf>
    <xf numFmtId="14" fontId="14" fillId="11" borderId="1" xfId="47" applyNumberFormat="1" applyFont="1" applyFill="1" applyBorder="1" applyAlignment="1" applyProtection="1">
      <alignment vertical="top" wrapText="1"/>
      <protection locked="0"/>
    </xf>
    <xf numFmtId="0" fontId="14" fillId="11" borderId="0" xfId="0" applyFont="1" applyFill="1" applyAlignment="1">
      <alignment vertical="top"/>
    </xf>
    <xf numFmtId="0" fontId="14" fillId="12" borderId="1" xfId="0" applyFont="1" applyFill="1" applyBorder="1" applyAlignment="1">
      <alignment horizontal="left" vertical="top" wrapText="1"/>
    </xf>
    <xf numFmtId="167" fontId="14" fillId="12" borderId="1" xfId="47" applyNumberFormat="1" applyFont="1" applyFill="1" applyBorder="1" applyAlignment="1" applyProtection="1">
      <alignment horizontal="left" vertical="top" wrapText="1"/>
      <protection locked="0"/>
    </xf>
    <xf numFmtId="3" fontId="14" fillId="12" borderId="1" xfId="46" applyNumberFormat="1" applyFont="1" applyFill="1" applyBorder="1" applyAlignment="1" applyProtection="1">
      <alignment horizontal="left" vertical="top" wrapText="1"/>
      <protection locked="0"/>
    </xf>
    <xf numFmtId="165" fontId="14" fillId="12" borderId="1" xfId="22" applyFont="1" applyFill="1" applyBorder="1" applyAlignment="1" applyProtection="1">
      <alignment horizontal="center" vertical="top" wrapText="1"/>
      <protection locked="0"/>
    </xf>
    <xf numFmtId="167" fontId="14" fillId="12" borderId="1" xfId="22" applyNumberFormat="1" applyFont="1" applyFill="1" applyBorder="1" applyAlignment="1" applyProtection="1">
      <alignment horizontal="center" vertical="top" wrapText="1"/>
      <protection locked="0"/>
    </xf>
    <xf numFmtId="3" fontId="14" fillId="12" borderId="1" xfId="47" applyNumberFormat="1" applyFont="1" applyFill="1" applyBorder="1" applyAlignment="1" applyProtection="1">
      <alignment horizontal="left" vertical="top" wrapText="1"/>
      <protection locked="0"/>
    </xf>
    <xf numFmtId="14" fontId="14" fillId="12" borderId="1" xfId="47" applyNumberFormat="1" applyFont="1" applyFill="1" applyBorder="1" applyAlignment="1" applyProtection="1">
      <alignment vertical="top" wrapText="1"/>
      <protection locked="0"/>
    </xf>
    <xf numFmtId="0" fontId="14" fillId="12" borderId="0" xfId="0" applyFont="1" applyFill="1" applyAlignment="1">
      <alignment vertical="top"/>
    </xf>
    <xf numFmtId="0" fontId="14" fillId="4" borderId="1" xfId="0" applyFont="1" applyFill="1" applyBorder="1" applyAlignment="1">
      <alignment horizontal="left" vertical="top" wrapText="1"/>
    </xf>
    <xf numFmtId="167" fontId="14" fillId="4" borderId="1" xfId="47" applyNumberFormat="1" applyFont="1" applyFill="1" applyBorder="1" applyAlignment="1" applyProtection="1">
      <alignment horizontal="left" vertical="top" wrapText="1"/>
      <protection locked="0"/>
    </xf>
    <xf numFmtId="3" fontId="14" fillId="4" borderId="1" xfId="46" applyNumberFormat="1" applyFont="1" applyFill="1" applyBorder="1" applyAlignment="1" applyProtection="1">
      <alignment horizontal="left" vertical="top" wrapText="1"/>
      <protection locked="0"/>
    </xf>
    <xf numFmtId="167" fontId="14" fillId="4" borderId="1" xfId="22" applyNumberFormat="1" applyFont="1" applyFill="1" applyBorder="1" applyAlignment="1" applyProtection="1">
      <alignment horizontal="center" vertical="top" wrapText="1"/>
      <protection locked="0"/>
    </xf>
    <xf numFmtId="3" fontId="14" fillId="4" borderId="1" xfId="47" applyNumberFormat="1" applyFont="1" applyFill="1" applyBorder="1" applyAlignment="1" applyProtection="1">
      <alignment horizontal="left" vertical="top" wrapText="1"/>
      <protection locked="0"/>
    </xf>
    <xf numFmtId="0" fontId="14" fillId="4" borderId="1" xfId="47" applyNumberFormat="1" applyFont="1" applyFill="1" applyBorder="1" applyAlignment="1" applyProtection="1">
      <alignment vertical="top" wrapText="1"/>
      <protection locked="0"/>
    </xf>
    <xf numFmtId="0" fontId="14" fillId="4" borderId="0" xfId="0" applyFont="1" applyFill="1" applyAlignment="1">
      <alignment vertical="top"/>
    </xf>
    <xf numFmtId="0" fontId="14" fillId="13" borderId="0" xfId="0" applyFont="1" applyFill="1" applyAlignment="1">
      <alignment vertical="top"/>
    </xf>
    <xf numFmtId="0" fontId="14" fillId="13" borderId="1" xfId="0" applyFont="1" applyFill="1" applyBorder="1" applyAlignment="1">
      <alignment horizontal="left" vertical="top" wrapText="1"/>
    </xf>
    <xf numFmtId="167" fontId="14" fillId="13" borderId="1" xfId="47" applyNumberFormat="1" applyFont="1" applyFill="1" applyBorder="1" applyAlignment="1" applyProtection="1">
      <alignment horizontal="left" vertical="top" wrapText="1"/>
      <protection locked="0"/>
    </xf>
    <xf numFmtId="3" fontId="14" fillId="13" borderId="1" xfId="46" applyNumberFormat="1" applyFont="1" applyFill="1" applyBorder="1" applyAlignment="1" applyProtection="1">
      <alignment horizontal="left" vertical="top" wrapText="1"/>
      <protection locked="0"/>
    </xf>
    <xf numFmtId="167" fontId="14" fillId="13" borderId="1" xfId="22" applyNumberFormat="1" applyFont="1" applyFill="1" applyBorder="1" applyAlignment="1" applyProtection="1">
      <alignment horizontal="center" vertical="top" wrapText="1"/>
      <protection locked="0"/>
    </xf>
    <xf numFmtId="3" fontId="14" fillId="13" borderId="1" xfId="47" applyNumberFormat="1" applyFont="1" applyFill="1" applyBorder="1" applyAlignment="1" applyProtection="1">
      <alignment horizontal="left" vertical="top" wrapText="1"/>
      <protection locked="0"/>
    </xf>
    <xf numFmtId="0" fontId="14" fillId="13" borderId="1" xfId="47" applyNumberFormat="1" applyFont="1" applyFill="1" applyBorder="1" applyAlignment="1" applyProtection="1">
      <alignment vertical="top" wrapText="1"/>
      <protection locked="0"/>
    </xf>
    <xf numFmtId="0" fontId="14" fillId="7" borderId="1" xfId="0" applyFont="1" applyFill="1" applyBorder="1" applyAlignment="1">
      <alignment horizontal="left" vertical="top" wrapText="1"/>
    </xf>
    <xf numFmtId="167" fontId="14" fillId="7" borderId="1" xfId="47" applyNumberFormat="1" applyFont="1" applyFill="1" applyBorder="1" applyAlignment="1" applyProtection="1">
      <alignment horizontal="left" vertical="top" wrapText="1"/>
      <protection locked="0"/>
    </xf>
    <xf numFmtId="3" fontId="14" fillId="7" borderId="1" xfId="46" applyNumberFormat="1" applyFont="1" applyFill="1" applyBorder="1" applyAlignment="1" applyProtection="1">
      <alignment horizontal="left" vertical="top" wrapText="1"/>
      <protection locked="0"/>
    </xf>
    <xf numFmtId="167" fontId="14" fillId="7" borderId="1" xfId="22" applyNumberFormat="1" applyFont="1" applyFill="1" applyBorder="1" applyAlignment="1" applyProtection="1">
      <alignment horizontal="center" vertical="top" wrapText="1"/>
      <protection locked="0"/>
    </xf>
    <xf numFmtId="3" fontId="14" fillId="7" borderId="1" xfId="47" applyNumberFormat="1" applyFont="1" applyFill="1" applyBorder="1" applyAlignment="1" applyProtection="1">
      <alignment horizontal="left" vertical="top" wrapText="1"/>
      <protection locked="0"/>
    </xf>
    <xf numFmtId="0" fontId="14" fillId="7" borderId="1" xfId="47" applyNumberFormat="1" applyFont="1" applyFill="1" applyBorder="1" applyAlignment="1" applyProtection="1">
      <alignment vertical="top" wrapText="1"/>
      <protection locked="0"/>
    </xf>
    <xf numFmtId="0" fontId="14" fillId="14" borderId="0" xfId="0" applyFont="1" applyFill="1" applyAlignment="1">
      <alignment vertical="top"/>
    </xf>
    <xf numFmtId="0" fontId="14" fillId="14" borderId="1" xfId="0" applyFont="1" applyFill="1" applyBorder="1" applyAlignment="1">
      <alignment horizontal="left" vertical="top" wrapText="1"/>
    </xf>
    <xf numFmtId="167" fontId="14" fillId="14" borderId="1" xfId="47" applyNumberFormat="1" applyFont="1" applyFill="1" applyBorder="1" applyAlignment="1" applyProtection="1">
      <alignment horizontal="left" vertical="top" wrapText="1"/>
      <protection locked="0"/>
    </xf>
    <xf numFmtId="3" fontId="14" fillId="14" borderId="1" xfId="46" applyNumberFormat="1" applyFont="1" applyFill="1" applyBorder="1" applyAlignment="1" applyProtection="1">
      <alignment horizontal="left" vertical="top" wrapText="1"/>
      <protection locked="0"/>
    </xf>
    <xf numFmtId="167" fontId="14" fillId="14" borderId="1" xfId="22" applyNumberFormat="1" applyFont="1" applyFill="1" applyBorder="1" applyAlignment="1" applyProtection="1">
      <alignment horizontal="center" vertical="top" wrapText="1"/>
      <protection locked="0"/>
    </xf>
    <xf numFmtId="3" fontId="14" fillId="14" borderId="1" xfId="47" applyNumberFormat="1" applyFont="1" applyFill="1" applyBorder="1" applyAlignment="1" applyProtection="1">
      <alignment horizontal="left" vertical="top" wrapText="1"/>
      <protection locked="0"/>
    </xf>
    <xf numFmtId="0" fontId="14" fillId="14" borderId="1" xfId="47" applyNumberFormat="1" applyFont="1" applyFill="1" applyBorder="1" applyAlignment="1" applyProtection="1">
      <alignment vertical="top" wrapText="1"/>
      <protection locked="0"/>
    </xf>
    <xf numFmtId="0" fontId="14" fillId="10" borderId="1" xfId="47" applyNumberFormat="1" applyFont="1" applyFill="1" applyBorder="1" applyAlignment="1" applyProtection="1">
      <alignment vertical="top" wrapText="1"/>
      <protection locked="0"/>
    </xf>
    <xf numFmtId="0" fontId="14" fillId="0" borderId="1" xfId="0" applyFont="1" applyBorder="1" applyAlignment="1">
      <alignment horizontal="left" vertical="top" wrapText="1"/>
    </xf>
    <xf numFmtId="167" fontId="14" fillId="0" borderId="1" xfId="47" applyNumberFormat="1" applyFont="1" applyFill="1" applyBorder="1" applyAlignment="1" applyProtection="1">
      <alignment horizontal="left" vertical="top" wrapText="1"/>
      <protection locked="0"/>
    </xf>
    <xf numFmtId="3" fontId="14" fillId="0" borderId="1" xfId="46" applyNumberFormat="1" applyFont="1" applyBorder="1" applyAlignment="1" applyProtection="1">
      <alignment horizontal="left" vertical="top" wrapText="1"/>
      <protection locked="0"/>
    </xf>
    <xf numFmtId="167" fontId="14" fillId="0" borderId="1" xfId="22" applyNumberFormat="1" applyFont="1" applyFill="1" applyBorder="1" applyAlignment="1" applyProtection="1">
      <alignment horizontal="center" vertical="top" wrapText="1"/>
      <protection locked="0"/>
    </xf>
    <xf numFmtId="3" fontId="14" fillId="0" borderId="1" xfId="47" applyNumberFormat="1" applyFont="1" applyFill="1" applyBorder="1" applyAlignment="1" applyProtection="1">
      <alignment horizontal="left" vertical="top" wrapText="1"/>
      <protection locked="0"/>
    </xf>
    <xf numFmtId="16" fontId="14" fillId="0" borderId="1" xfId="47" applyNumberFormat="1" applyFont="1" applyFill="1" applyBorder="1" applyAlignment="1" applyProtection="1">
      <alignment vertical="top" wrapText="1"/>
      <protection locked="0"/>
    </xf>
    <xf numFmtId="0" fontId="14" fillId="0" borderId="1" xfId="0" applyFont="1" applyBorder="1" applyAlignment="1">
      <alignment vertical="top" wrapText="1"/>
    </xf>
    <xf numFmtId="43" fontId="0" fillId="0" borderId="0" xfId="48" applyFont="1" applyAlignment="1">
      <alignment vertical="center" wrapText="1"/>
    </xf>
    <xf numFmtId="3" fontId="10" fillId="0" borderId="0" xfId="0" applyNumberFormat="1" applyFont="1" applyAlignment="1">
      <alignment horizontal="left" vertical="center" wrapText="1"/>
    </xf>
    <xf numFmtId="0" fontId="14" fillId="15" borderId="1" xfId="0" applyFont="1" applyFill="1" applyBorder="1" applyAlignment="1">
      <alignment horizontal="left" vertical="top" wrapText="1"/>
    </xf>
    <xf numFmtId="167" fontId="14" fillId="15" borderId="1" xfId="47" applyNumberFormat="1" applyFont="1" applyFill="1" applyBorder="1" applyAlignment="1" applyProtection="1">
      <alignment horizontal="left" vertical="top" wrapText="1"/>
      <protection locked="0"/>
    </xf>
    <xf numFmtId="3" fontId="14" fillId="15" borderId="1" xfId="46" applyNumberFormat="1" applyFont="1" applyFill="1" applyBorder="1" applyAlignment="1" applyProtection="1">
      <alignment horizontal="left" vertical="top" wrapText="1"/>
      <protection locked="0"/>
    </xf>
    <xf numFmtId="167" fontId="14" fillId="15" borderId="1" xfId="22" applyNumberFormat="1" applyFont="1" applyFill="1" applyBorder="1" applyAlignment="1" applyProtection="1">
      <alignment horizontal="center" vertical="top" wrapText="1"/>
      <protection locked="0"/>
    </xf>
    <xf numFmtId="3" fontId="14" fillId="15" borderId="1" xfId="47" applyNumberFormat="1" applyFont="1" applyFill="1" applyBorder="1" applyAlignment="1" applyProtection="1">
      <alignment horizontal="left" vertical="top" wrapText="1"/>
      <protection locked="0"/>
    </xf>
    <xf numFmtId="14" fontId="14" fillId="15" borderId="1" xfId="47" applyNumberFormat="1" applyFont="1" applyFill="1" applyBorder="1" applyAlignment="1" applyProtection="1">
      <alignment vertical="top" wrapText="1"/>
      <protection locked="0"/>
    </xf>
    <xf numFmtId="0" fontId="14" fillId="15" borderId="0" xfId="0" applyFont="1" applyFill="1" applyAlignment="1">
      <alignment vertical="top"/>
    </xf>
    <xf numFmtId="9" fontId="0" fillId="0" borderId="0" xfId="44" applyFont="1" applyAlignment="1">
      <alignment vertical="center" wrapText="1"/>
    </xf>
    <xf numFmtId="0" fontId="0" fillId="0" borderId="0" xfId="0" applyAlignment="1">
      <alignment vertical="center"/>
    </xf>
    <xf numFmtId="9" fontId="2" fillId="0" borderId="0" xfId="44" applyFont="1" applyAlignment="1">
      <alignment vertical="center" wrapText="1"/>
    </xf>
    <xf numFmtId="3" fontId="10" fillId="0" borderId="0" xfId="0" applyNumberFormat="1" applyFont="1" applyAlignment="1">
      <alignment horizontal="left" vertical="top" wrapText="1"/>
    </xf>
    <xf numFmtId="0" fontId="16" fillId="0" borderId="1" xfId="0" applyFont="1" applyBorder="1" applyAlignment="1">
      <alignment horizontal="left" vertical="top" wrapText="1"/>
    </xf>
    <xf numFmtId="0" fontId="17" fillId="5" borderId="2" xfId="0" applyFont="1" applyFill="1" applyBorder="1" applyAlignment="1">
      <alignment horizontal="center" vertical="top"/>
    </xf>
    <xf numFmtId="0" fontId="17" fillId="5" borderId="3" xfId="0" applyFont="1" applyFill="1" applyBorder="1" applyAlignment="1">
      <alignment horizontal="center" vertical="top"/>
    </xf>
    <xf numFmtId="0" fontId="17" fillId="5" borderId="4" xfId="0" applyFont="1" applyFill="1" applyBorder="1" applyAlignment="1">
      <alignment horizontal="center" vertical="top"/>
    </xf>
  </cellXfs>
  <cellStyles count="49">
    <cellStyle name="Comma" xfId="48" builtinId="3"/>
    <cellStyle name="Comma [0] 2" xfId="3" xr:uid="{00000000-0005-0000-0000-000000000000}"/>
    <cellStyle name="Comma [0] 2 2" xfId="8" xr:uid="{00000000-0005-0000-0000-000001000000}"/>
    <cellStyle name="Comma [0] 2 2 2" xfId="19" xr:uid="{814421FC-5FCA-4E74-A7F7-2650E9993852}"/>
    <cellStyle name="Comma [0] 2 3" xfId="17" xr:uid="{9D7C274B-872E-4768-86B9-F987971E8A48}"/>
    <cellStyle name="Comma [0] 2 4" xfId="27" xr:uid="{1A527B60-2424-4543-86BF-2048C4EAE804}"/>
    <cellStyle name="Comma [0] 3" xfId="43" xr:uid="{2F4D2F81-1074-40AB-938E-997CC8FCF2D2}"/>
    <cellStyle name="Comma 10" xfId="35" xr:uid="{202B6B06-75C3-4D32-BE05-0347694604A6}"/>
    <cellStyle name="Comma 12" xfId="5" xr:uid="{00000000-0005-0000-0000-000002000000}"/>
    <cellStyle name="Comma 13" xfId="42" xr:uid="{71365994-2992-4377-816E-8B390C4532F9}"/>
    <cellStyle name="Comma 14" xfId="33" xr:uid="{927BBC21-304D-49D2-8734-13AEE190D874}"/>
    <cellStyle name="Comma 15" xfId="36" xr:uid="{A7A84538-E0E2-498F-9129-9C461D32AB07}"/>
    <cellStyle name="Comma 16" xfId="39" xr:uid="{61742370-6182-48AA-A309-7119EB21A1DB}"/>
    <cellStyle name="Comma 17" xfId="40" xr:uid="{9AF78DFF-6F58-4781-8DE4-18DC21ECD0EF}"/>
    <cellStyle name="Comma 18" xfId="38" xr:uid="{AFD5D8F6-3722-46B9-80F9-66B6E22052D6}"/>
    <cellStyle name="Comma 2" xfId="2" xr:uid="{00000000-0005-0000-0000-000003000000}"/>
    <cellStyle name="Comma 2 2" xfId="28" xr:uid="{30A0EA10-FEC7-420B-89F2-DDD2C83E1EBD}"/>
    <cellStyle name="Comma 2 2 2 2" xfId="16" xr:uid="{00000000-0005-0000-0000-000004000000}"/>
    <cellStyle name="Comma 2 2 2 2 2" xfId="21" xr:uid="{BBA6778F-D4AA-4E91-82E2-74BE12B00D59}"/>
    <cellStyle name="Comma 2 2 3" xfId="15" xr:uid="{00000000-0005-0000-0000-000005000000}"/>
    <cellStyle name="Comma 2 2 3 2" xfId="20" xr:uid="{11BBD6C3-3FD1-488D-9CE3-D5A9064DC020}"/>
    <cellStyle name="Comma 2 5" xfId="6" xr:uid="{00000000-0005-0000-0000-000006000000}"/>
    <cellStyle name="Comma 2 5 2" xfId="18" xr:uid="{0555942C-CA20-4CE0-9EC4-4A6BFE8DB512}"/>
    <cellStyle name="Comma 2 5 3" xfId="26" xr:uid="{7146649A-7083-4758-ABB8-55ABBBD89F00}"/>
    <cellStyle name="Comma 21" xfId="30" xr:uid="{AEADD4FF-4345-4773-9FD6-8E12EAA245AE}"/>
    <cellStyle name="Comma 21 2" xfId="47" xr:uid="{4BB25BB3-8BCE-4D1A-80F6-29BF1531682B}"/>
    <cellStyle name="Comma 3" xfId="22" xr:uid="{B7DB0195-1D07-4D34-ADD7-16EFFBC66793}"/>
    <cellStyle name="Comma 4" xfId="23" xr:uid="{039FE3CD-ED21-40A1-8F3C-E60DC6658745}"/>
    <cellStyle name="Comma 5" xfId="24" xr:uid="{E90243C8-22A9-469C-8550-CD3BF68A5B96}"/>
    <cellStyle name="Comma 8" xfId="37" xr:uid="{6EAF52A9-687A-4783-8011-E8B98F8B7310}"/>
    <cellStyle name="Milliers 2" xfId="34" xr:uid="{EAB4BAC1-D895-4D11-A550-BD2844E27016}"/>
    <cellStyle name="Normal" xfId="0" builtinId="0"/>
    <cellStyle name="Normal 10" xfId="10" xr:uid="{00000000-0005-0000-0000-000008000000}"/>
    <cellStyle name="Normal 2" xfId="1" xr:uid="{00000000-0005-0000-0000-000009000000}"/>
    <cellStyle name="Normal 2 2 3" xfId="13" xr:uid="{00000000-0005-0000-0000-00000A000000}"/>
    <cellStyle name="Normal 2 3" xfId="31" xr:uid="{386ECEBB-61A7-4838-8C33-6C9D164A2EB9}"/>
    <cellStyle name="Normal 2 35" xfId="7" xr:uid="{00000000-0005-0000-0000-00000B000000}"/>
    <cellStyle name="Normal 2 4" xfId="32" xr:uid="{E499C4D3-95D4-4ED7-920A-FC08B0B89608}"/>
    <cellStyle name="Normal 3" xfId="9" xr:uid="{00000000-0005-0000-0000-00000C000000}"/>
    <cellStyle name="Normal 3 2" xfId="25" xr:uid="{61C25739-6299-4CA8-8773-A27E0B00880A}"/>
    <cellStyle name="Normal 3 2 2" xfId="29" xr:uid="{36C421BA-6D94-48CE-B568-F2B3BF955C73}"/>
    <cellStyle name="Normal 3 2 5" xfId="4" xr:uid="{00000000-0005-0000-0000-00000D000000}"/>
    <cellStyle name="Normal 4 2" xfId="11" xr:uid="{00000000-0005-0000-0000-00000E000000}"/>
    <cellStyle name="Normal 54" xfId="46" xr:uid="{438D37E8-6F9D-47C2-B24E-1C7032AEE63E}"/>
    <cellStyle name="Normal 6" xfId="12" xr:uid="{00000000-0005-0000-0000-00000F000000}"/>
    <cellStyle name="Normal_Sheet1" xfId="45" xr:uid="{B45359F4-D64B-4C0B-9823-6831E34BE11D}"/>
    <cellStyle name="Percent" xfId="44" builtinId="5"/>
    <cellStyle name="Percent 2" xfId="41" xr:uid="{B1109E6C-78A8-4D4D-869E-6AC787F0FD13}"/>
    <cellStyle name="Percent 7" xfId="14" xr:uid="{00000000-0005-0000-0000-000010000000}"/>
  </cellStyles>
  <dxfs count="0"/>
  <tableStyles count="0" defaultTableStyle="TableStyleMedium2" defaultPivotStyle="PivotStyleLight16"/>
  <colors>
    <mruColors>
      <color rgb="FFFFCC66"/>
      <color rgb="FFFF66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0"/>
  <sheetViews>
    <sheetView tabSelected="1" zoomScale="80" zoomScaleNormal="80" workbookViewId="0">
      <pane xSplit="1" ySplit="1" topLeftCell="B2" activePane="bottomRight" state="frozen"/>
      <selection pane="topRight" activeCell="B1" sqref="B1"/>
      <selection pane="bottomLeft" activeCell="A2" sqref="A2"/>
      <selection pane="bottomRight"/>
    </sheetView>
  </sheetViews>
  <sheetFormatPr baseColWidth="10" defaultColWidth="8.83203125" defaultRowHeight="15" x14ac:dyDescent="0.2"/>
  <cols>
    <col min="1" max="1" width="40.6640625" style="2" customWidth="1"/>
    <col min="2" max="4" width="15.6640625" style="2" customWidth="1"/>
    <col min="5" max="6" width="8.83203125" style="2"/>
    <col min="7" max="7" width="12.1640625" style="2" bestFit="1" customWidth="1"/>
    <col min="8" max="8" width="8.83203125" style="2"/>
    <col min="9" max="9" width="9.5" style="2" bestFit="1" customWidth="1"/>
    <col min="10" max="10" width="11.5" style="2" bestFit="1" customWidth="1"/>
    <col min="11" max="16384" width="8.83203125" style="2"/>
  </cols>
  <sheetData>
    <row r="1" spans="1:10" ht="16" x14ac:dyDescent="0.2">
      <c r="A1" s="40" t="s">
        <v>31</v>
      </c>
      <c r="B1" s="40">
        <v>2023</v>
      </c>
      <c r="C1" s="40">
        <v>2024</v>
      </c>
      <c r="D1" s="40">
        <v>2025</v>
      </c>
    </row>
    <row r="2" spans="1:10" ht="16" x14ac:dyDescent="0.2">
      <c r="A2" s="10" t="s">
        <v>1</v>
      </c>
      <c r="B2" s="9"/>
      <c r="C2" s="9"/>
      <c r="D2" s="9"/>
    </row>
    <row r="3" spans="1:10" ht="16" x14ac:dyDescent="0.2">
      <c r="A3" s="13" t="s">
        <v>18</v>
      </c>
      <c r="B3" s="1">
        <v>457566.64000000025</v>
      </c>
      <c r="C3" s="1">
        <v>482639.37960191624</v>
      </c>
      <c r="D3" s="1">
        <f>'2025 Budget'!B3</f>
        <v>486800.81977197097</v>
      </c>
      <c r="E3" s="1"/>
      <c r="F3" s="1"/>
      <c r="G3" s="153"/>
      <c r="I3" s="154"/>
    </row>
    <row r="4" spans="1:10" s="3" customFormat="1" ht="16" x14ac:dyDescent="0.2">
      <c r="A4" s="5" t="s">
        <v>2</v>
      </c>
      <c r="B4" s="6">
        <f>B3</f>
        <v>457566.64000000025</v>
      </c>
      <c r="C4" s="6">
        <f t="shared" ref="C4:D4" si="0">C3</f>
        <v>482639.37960191624</v>
      </c>
      <c r="D4" s="6">
        <f t="shared" si="0"/>
        <v>486800.81977197097</v>
      </c>
    </row>
    <row r="5" spans="1:10" x14ac:dyDescent="0.2">
      <c r="B5" s="1"/>
      <c r="C5" s="1"/>
      <c r="D5" s="1"/>
      <c r="J5" s="3"/>
    </row>
    <row r="6" spans="1:10" ht="16" x14ac:dyDescent="0.2">
      <c r="A6" s="10" t="s">
        <v>21</v>
      </c>
      <c r="B6" s="1"/>
      <c r="C6" s="1"/>
      <c r="D6" s="1"/>
      <c r="J6" s="3"/>
    </row>
    <row r="7" spans="1:10" ht="16" x14ac:dyDescent="0.2">
      <c r="A7" s="2" t="s">
        <v>22</v>
      </c>
      <c r="B7" s="1">
        <v>110298.58000000002</v>
      </c>
      <c r="C7" s="1">
        <v>168132</v>
      </c>
      <c r="D7" s="1">
        <f>'2025 Budget'!B7</f>
        <v>0</v>
      </c>
    </row>
    <row r="8" spans="1:10" ht="16" x14ac:dyDescent="0.2">
      <c r="A8" s="2" t="s">
        <v>3</v>
      </c>
      <c r="B8" s="1">
        <v>65925.06</v>
      </c>
      <c r="C8" s="1">
        <v>17238.14</v>
      </c>
      <c r="D8" s="1">
        <f>'2025 Budget'!B8</f>
        <v>0</v>
      </c>
    </row>
    <row r="9" spans="1:10" ht="16" x14ac:dyDescent="0.2">
      <c r="A9" s="5" t="s">
        <v>2</v>
      </c>
      <c r="B9" s="6">
        <f>SUM(B7:B8)</f>
        <v>176223.64</v>
      </c>
      <c r="C9" s="6">
        <f t="shared" ref="C9:D9" si="1">SUM(C7:C8)</f>
        <v>185370.14</v>
      </c>
      <c r="D9" s="6">
        <f t="shared" si="1"/>
        <v>0</v>
      </c>
    </row>
    <row r="10" spans="1:10" x14ac:dyDescent="0.2">
      <c r="B10" s="1"/>
      <c r="C10" s="1"/>
      <c r="D10" s="1"/>
    </row>
    <row r="11" spans="1:10" ht="16" x14ac:dyDescent="0.2">
      <c r="A11" s="3" t="s">
        <v>24</v>
      </c>
      <c r="B11" s="1"/>
      <c r="C11" s="1"/>
      <c r="D11" s="1"/>
    </row>
    <row r="12" spans="1:10" ht="16" x14ac:dyDescent="0.2">
      <c r="A12" s="2" t="s">
        <v>5</v>
      </c>
      <c r="B12" s="1">
        <v>717.32999999999993</v>
      </c>
      <c r="C12" s="1">
        <v>900</v>
      </c>
      <c r="D12" s="1">
        <f>'2025 Budget'!B12</f>
        <v>0</v>
      </c>
    </row>
    <row r="13" spans="1:10" ht="16" x14ac:dyDescent="0.2">
      <c r="A13" s="2" t="s">
        <v>6</v>
      </c>
      <c r="B13" s="1">
        <v>20611.25</v>
      </c>
      <c r="C13" s="1">
        <v>10897.5</v>
      </c>
      <c r="D13" s="1">
        <f>'2025 Budget'!B13</f>
        <v>7629</v>
      </c>
    </row>
    <row r="14" spans="1:10" ht="16" x14ac:dyDescent="0.2">
      <c r="A14" s="2" t="s">
        <v>7</v>
      </c>
      <c r="B14" s="1">
        <v>8415.619999999999</v>
      </c>
      <c r="C14" s="1">
        <v>11400</v>
      </c>
      <c r="D14" s="1">
        <f>'2025 Budget'!B14</f>
        <v>6000</v>
      </c>
    </row>
    <row r="15" spans="1:10" s="3" customFormat="1" ht="16" x14ac:dyDescent="0.2">
      <c r="A15" s="5" t="s">
        <v>2</v>
      </c>
      <c r="B15" s="6">
        <f>SUM(B12:B14)</f>
        <v>29744.2</v>
      </c>
      <c r="C15" s="6">
        <f t="shared" ref="C15:D15" si="2">SUM(C12:C14)</f>
        <v>23197.5</v>
      </c>
      <c r="D15" s="6">
        <f t="shared" si="2"/>
        <v>13629</v>
      </c>
    </row>
    <row r="16" spans="1:10" x14ac:dyDescent="0.2">
      <c r="B16" s="1"/>
      <c r="C16" s="1"/>
      <c r="D16" s="1"/>
    </row>
    <row r="17" spans="1:10" ht="16" x14ac:dyDescent="0.2">
      <c r="A17" s="3" t="s">
        <v>23</v>
      </c>
      <c r="B17" s="1"/>
      <c r="C17" s="1"/>
      <c r="D17" s="1"/>
    </row>
    <row r="18" spans="1:10" ht="16" x14ac:dyDescent="0.2">
      <c r="A18" s="2" t="s">
        <v>9</v>
      </c>
      <c r="B18" s="1">
        <v>6935.1399999999985</v>
      </c>
      <c r="C18" s="1">
        <v>0</v>
      </c>
      <c r="D18" s="1">
        <f>'2025 Budget'!B18</f>
        <v>0</v>
      </c>
    </row>
    <row r="19" spans="1:10" ht="16" x14ac:dyDescent="0.2">
      <c r="A19" s="2" t="s">
        <v>10</v>
      </c>
      <c r="B19" s="1">
        <v>3578.73</v>
      </c>
      <c r="C19" s="1">
        <v>23230.05</v>
      </c>
      <c r="D19" s="1">
        <f>'2025 Budget'!B19</f>
        <v>24792</v>
      </c>
      <c r="F19" s="1"/>
      <c r="G19" s="144"/>
    </row>
    <row r="20" spans="1:10" ht="16" x14ac:dyDescent="0.2">
      <c r="A20" s="2" t="s">
        <v>11</v>
      </c>
      <c r="B20" s="1">
        <v>33978</v>
      </c>
      <c r="C20" s="1">
        <v>25172.52656527275</v>
      </c>
      <c r="D20" s="1">
        <f>'2025 Budget'!B20</f>
        <v>25139</v>
      </c>
      <c r="F20" s="1"/>
    </row>
    <row r="21" spans="1:10" ht="16" x14ac:dyDescent="0.2">
      <c r="A21" s="2" t="s">
        <v>12</v>
      </c>
      <c r="B21" s="1">
        <v>32271.030000000002</v>
      </c>
      <c r="C21" s="1">
        <v>91238.77</v>
      </c>
      <c r="D21" s="1">
        <f>'2025 Budget'!B21</f>
        <v>89625</v>
      </c>
      <c r="F21" s="1"/>
    </row>
    <row r="22" spans="1:10" ht="16" x14ac:dyDescent="0.2">
      <c r="A22" s="2" t="s">
        <v>13</v>
      </c>
      <c r="B22" s="1">
        <v>7413.23</v>
      </c>
      <c r="C22" s="1">
        <v>7465.93</v>
      </c>
      <c r="D22" s="1">
        <f>'2025 Budget'!B22</f>
        <v>8610</v>
      </c>
      <c r="F22" s="1"/>
    </row>
    <row r="23" spans="1:10" ht="16" x14ac:dyDescent="0.2">
      <c r="A23" s="2" t="s">
        <v>14</v>
      </c>
      <c r="B23" s="1">
        <v>19270.250000000007</v>
      </c>
      <c r="C23" s="1">
        <v>59551.5</v>
      </c>
      <c r="D23" s="1">
        <f>'2025 Budget'!B23</f>
        <v>58175</v>
      </c>
      <c r="F23" s="1"/>
    </row>
    <row r="24" spans="1:10" s="3" customFormat="1" ht="16" x14ac:dyDescent="0.2">
      <c r="A24" s="5" t="s">
        <v>2</v>
      </c>
      <c r="B24" s="6">
        <f t="shared" ref="B24:D24" si="3">SUM(B18:B23)</f>
        <v>103446.38</v>
      </c>
      <c r="C24" s="6">
        <f t="shared" si="3"/>
        <v>206658.77656527274</v>
      </c>
      <c r="D24" s="6">
        <f t="shared" si="3"/>
        <v>206341</v>
      </c>
      <c r="I24" s="4"/>
      <c r="J24" s="155"/>
    </row>
    <row r="25" spans="1:10" x14ac:dyDescent="0.2">
      <c r="B25" s="1"/>
      <c r="C25" s="1"/>
      <c r="D25" s="1"/>
    </row>
    <row r="26" spans="1:10" s="3" customFormat="1" ht="16" x14ac:dyDescent="0.2">
      <c r="A26" s="3" t="s">
        <v>15</v>
      </c>
      <c r="B26" s="4"/>
      <c r="C26" s="4"/>
      <c r="D26" s="4"/>
    </row>
    <row r="27" spans="1:10" ht="16" x14ac:dyDescent="0.2">
      <c r="A27" s="2" t="s">
        <v>19</v>
      </c>
      <c r="B27" s="1">
        <v>10287.529999999999</v>
      </c>
      <c r="C27" s="1">
        <v>10070.200000000001</v>
      </c>
      <c r="D27" s="1">
        <f>'2025 Budget'!B27</f>
        <v>4290</v>
      </c>
    </row>
    <row r="28" spans="1:10" ht="16" x14ac:dyDescent="0.2">
      <c r="A28" s="2" t="s">
        <v>16</v>
      </c>
      <c r="B28" s="1">
        <v>0</v>
      </c>
      <c r="C28" s="1">
        <v>0</v>
      </c>
      <c r="D28" s="1">
        <f>'2025 Budget'!B28</f>
        <v>0</v>
      </c>
    </row>
    <row r="29" spans="1:10" ht="16" x14ac:dyDescent="0.2">
      <c r="A29" s="2" t="s">
        <v>17</v>
      </c>
      <c r="B29" s="1">
        <v>230174.47000000009</v>
      </c>
      <c r="C29" s="1">
        <v>229145.80999999997</v>
      </c>
      <c r="D29" s="1">
        <f>'2025 Budget'!B29</f>
        <v>199780.3</v>
      </c>
      <c r="F29" s="1"/>
      <c r="H29" s="1"/>
    </row>
    <row r="30" spans="1:10" s="3" customFormat="1" ht="16" x14ac:dyDescent="0.2">
      <c r="A30" s="5" t="s">
        <v>2</v>
      </c>
      <c r="B30" s="6">
        <f>SUM(B27:B29)</f>
        <v>240462.00000000009</v>
      </c>
      <c r="C30" s="6">
        <f>SUM(C27:C29)</f>
        <v>239216.00999999998</v>
      </c>
      <c r="D30" s="6">
        <f>SUM(D27:D29)</f>
        <v>204070.3</v>
      </c>
    </row>
    <row r="31" spans="1:10" x14ac:dyDescent="0.2">
      <c r="B31" s="1"/>
      <c r="C31" s="1"/>
      <c r="D31" s="1"/>
    </row>
    <row r="32" spans="1:10" s="3" customFormat="1" ht="16" x14ac:dyDescent="0.2">
      <c r="A32" s="7" t="s">
        <v>0</v>
      </c>
      <c r="B32" s="8">
        <f>B30+B24+B15+B9+B4</f>
        <v>1007442.8600000005</v>
      </c>
      <c r="C32" s="8">
        <f>C30+C24+C15+C9+C4</f>
        <v>1137081.806167189</v>
      </c>
      <c r="D32" s="8">
        <f>D30+D24+D15+D9+D4</f>
        <v>910841.1197719709</v>
      </c>
      <c r="E32" s="1">
        <f>D32-'2025 Budget'!B32</f>
        <v>0</v>
      </c>
      <c r="G32" s="4"/>
    </row>
    <row r="33" spans="1:7" x14ac:dyDescent="0.2">
      <c r="B33" s="1"/>
      <c r="C33" s="1"/>
      <c r="D33" s="1"/>
    </row>
    <row r="34" spans="1:7" ht="16" x14ac:dyDescent="0.2">
      <c r="A34" s="2" t="s">
        <v>25</v>
      </c>
      <c r="B34" s="1">
        <v>61986</v>
      </c>
      <c r="C34" s="1">
        <v>76457.239999999991</v>
      </c>
      <c r="D34" s="1">
        <v>77680</v>
      </c>
      <c r="G34" s="1"/>
    </row>
    <row r="35" spans="1:7" ht="16" x14ac:dyDescent="0.2">
      <c r="A35" s="2" t="s">
        <v>26</v>
      </c>
      <c r="B35" s="1">
        <v>4</v>
      </c>
      <c r="C35" s="1">
        <v>5</v>
      </c>
      <c r="D35" s="1">
        <v>5</v>
      </c>
    </row>
    <row r="36" spans="1:7" ht="16" x14ac:dyDescent="0.2">
      <c r="A36" s="2" t="s">
        <v>27</v>
      </c>
      <c r="B36" s="14">
        <f>B32/B34/B35</f>
        <v>4.0631870906333702</v>
      </c>
      <c r="C36" s="14">
        <f>C32/C34/C35</f>
        <v>2.9744254596875042</v>
      </c>
      <c r="D36" s="14">
        <f>D32/D34/D35</f>
        <v>2.3451110189803575</v>
      </c>
    </row>
    <row r="37" spans="1:7" x14ac:dyDescent="0.2">
      <c r="B37" s="1"/>
      <c r="C37" s="1"/>
      <c r="D37" s="1"/>
    </row>
    <row r="38" spans="1:7" x14ac:dyDescent="0.2">
      <c r="B38" s="1"/>
      <c r="C38" s="1"/>
      <c r="D38" s="144"/>
    </row>
    <row r="39" spans="1:7" x14ac:dyDescent="0.2">
      <c r="B39" s="1"/>
      <c r="C39" s="1"/>
      <c r="D39" s="1"/>
    </row>
    <row r="40" spans="1:7" x14ac:dyDescent="0.2">
      <c r="D40"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066D-D254-45A7-9435-C061B078DAEF}">
  <dimension ref="A1:J138"/>
  <sheetViews>
    <sheetView zoomScale="80" zoomScaleNormal="80" workbookViewId="0">
      <pane ySplit="1" topLeftCell="A2" activePane="bottomLeft" state="frozen"/>
      <selection pane="bottomLeft" activeCell="D8" sqref="D8"/>
    </sheetView>
  </sheetViews>
  <sheetFormatPr baseColWidth="10" defaultColWidth="8.83203125" defaultRowHeight="15" x14ac:dyDescent="0.2"/>
  <cols>
    <col min="1" max="1" width="39.1640625" style="15" bestFit="1" customWidth="1"/>
    <col min="2" max="2" width="11.1640625" style="23" customWidth="1"/>
    <col min="3" max="3" width="81.83203125" style="35" customWidth="1"/>
    <col min="4" max="4" width="15.5" style="20" customWidth="1"/>
    <col min="5" max="5" width="9.83203125" style="25" bestFit="1" customWidth="1"/>
    <col min="6" max="7" width="12.5" style="25" customWidth="1"/>
    <col min="8" max="8" width="9.5" style="29" customWidth="1"/>
    <col min="9" max="10" width="9.83203125" style="25" customWidth="1"/>
    <col min="11" max="11" width="12.5" style="25" customWidth="1"/>
    <col min="12" max="16384" width="8.83203125" style="25"/>
  </cols>
  <sheetData>
    <row r="1" spans="1:10" s="39" customFormat="1" ht="16" x14ac:dyDescent="0.2">
      <c r="A1" s="36" t="s">
        <v>31</v>
      </c>
      <c r="B1" s="37" t="s">
        <v>29</v>
      </c>
      <c r="C1" s="37" t="s">
        <v>30</v>
      </c>
      <c r="D1" s="38"/>
      <c r="F1" s="38"/>
      <c r="G1" s="38"/>
      <c r="H1" s="38"/>
      <c r="I1" s="38"/>
    </row>
    <row r="2" spans="1:10" s="20" customFormat="1" ht="16" x14ac:dyDescent="0.2">
      <c r="A2" s="16" t="s">
        <v>1</v>
      </c>
      <c r="B2" s="21"/>
      <c r="C2" s="22"/>
      <c r="D2" s="21"/>
      <c r="E2" s="23"/>
      <c r="F2" s="21"/>
      <c r="G2" s="21"/>
      <c r="H2" s="24"/>
      <c r="I2" s="21"/>
      <c r="J2" s="23"/>
    </row>
    <row r="3" spans="1:10" s="20" customFormat="1" ht="16" x14ac:dyDescent="0.2">
      <c r="A3" s="15" t="s">
        <v>28</v>
      </c>
      <c r="B3" s="26">
        <f>SUM(Workings!G65:G85)</f>
        <v>486800.81977197097</v>
      </c>
      <c r="C3" s="22"/>
      <c r="D3" s="21"/>
      <c r="H3" s="24"/>
      <c r="I3" s="21"/>
    </row>
    <row r="4" spans="1:10" s="20" customFormat="1" ht="16" x14ac:dyDescent="0.2">
      <c r="A4" s="17" t="s">
        <v>2</v>
      </c>
      <c r="B4" s="27">
        <f>SUM(B3)</f>
        <v>486800.81977197097</v>
      </c>
      <c r="C4" s="28"/>
      <c r="D4" s="21"/>
      <c r="H4" s="24"/>
      <c r="I4" s="21"/>
    </row>
    <row r="5" spans="1:10" ht="15" customHeight="1" x14ac:dyDescent="0.2">
      <c r="C5" s="22"/>
      <c r="D5" s="21"/>
      <c r="I5" s="23"/>
    </row>
    <row r="6" spans="1:10" ht="15" customHeight="1" x14ac:dyDescent="0.2">
      <c r="A6" s="16" t="s">
        <v>21</v>
      </c>
      <c r="C6" s="22"/>
      <c r="D6" s="21"/>
      <c r="I6" s="23"/>
    </row>
    <row r="7" spans="1:10" ht="16" x14ac:dyDescent="0.2">
      <c r="A7" s="2" t="s">
        <v>22</v>
      </c>
      <c r="B7" s="23">
        <v>0</v>
      </c>
      <c r="C7" s="156" t="s">
        <v>32</v>
      </c>
      <c r="D7" s="21"/>
      <c r="I7" s="23"/>
    </row>
    <row r="8" spans="1:10" ht="16" x14ac:dyDescent="0.2">
      <c r="A8" s="2" t="s">
        <v>3</v>
      </c>
      <c r="B8" s="23">
        <v>0</v>
      </c>
      <c r="C8" s="156"/>
      <c r="D8" s="21"/>
      <c r="I8" s="23"/>
    </row>
    <row r="9" spans="1:10" s="20" customFormat="1" ht="15" customHeight="1" x14ac:dyDescent="0.2">
      <c r="A9" s="17" t="s">
        <v>2</v>
      </c>
      <c r="B9" s="27">
        <f>SUM(B7:B8)</f>
        <v>0</v>
      </c>
      <c r="C9" s="30"/>
      <c r="D9" s="21"/>
      <c r="H9" s="24"/>
      <c r="I9" s="21"/>
    </row>
    <row r="10" spans="1:10" ht="15" customHeight="1" x14ac:dyDescent="0.2">
      <c r="C10" s="22"/>
      <c r="D10" s="21"/>
      <c r="I10" s="23"/>
    </row>
    <row r="11" spans="1:10" ht="16" x14ac:dyDescent="0.2">
      <c r="A11" s="11" t="s">
        <v>4</v>
      </c>
      <c r="B11" s="21"/>
      <c r="C11" s="22"/>
      <c r="D11" s="21"/>
      <c r="E11" s="23"/>
      <c r="F11" s="21"/>
      <c r="G11" s="21"/>
      <c r="H11" s="24"/>
      <c r="I11" s="21"/>
      <c r="J11" s="23"/>
    </row>
    <row r="12" spans="1:10" ht="16" x14ac:dyDescent="0.2">
      <c r="A12" s="12" t="s">
        <v>5</v>
      </c>
      <c r="B12" s="26">
        <v>0</v>
      </c>
      <c r="C12" s="22"/>
      <c r="D12" s="21"/>
      <c r="E12" s="23"/>
      <c r="F12" s="23"/>
      <c r="G12" s="23"/>
      <c r="I12" s="23"/>
      <c r="J12" s="23"/>
    </row>
    <row r="13" spans="1:10" ht="16" x14ac:dyDescent="0.2">
      <c r="A13" s="12" t="s">
        <v>6</v>
      </c>
      <c r="B13" s="26">
        <f>SUM(Workings!G4:G13,Workings!G41)</f>
        <v>7629</v>
      </c>
      <c r="C13" s="22"/>
      <c r="D13" s="21"/>
      <c r="E13" s="23"/>
      <c r="F13" s="23"/>
      <c r="G13" s="23"/>
      <c r="I13" s="23"/>
      <c r="J13" s="23"/>
    </row>
    <row r="14" spans="1:10" ht="16" x14ac:dyDescent="0.2">
      <c r="A14" s="12" t="s">
        <v>7</v>
      </c>
      <c r="B14" s="26">
        <f>SUM(Workings!G42:G43)</f>
        <v>6000</v>
      </c>
      <c r="C14" s="22"/>
      <c r="D14" s="21"/>
      <c r="E14" s="23"/>
      <c r="F14" s="23"/>
      <c r="G14" s="23"/>
      <c r="I14" s="23"/>
      <c r="J14" s="23"/>
    </row>
    <row r="15" spans="1:10" ht="16" x14ac:dyDescent="0.2">
      <c r="A15" s="17" t="s">
        <v>2</v>
      </c>
      <c r="B15" s="27">
        <f>SUM(B12:B14)</f>
        <v>13629</v>
      </c>
      <c r="C15" s="28"/>
      <c r="D15" s="21"/>
      <c r="E15" s="23"/>
      <c r="F15" s="23"/>
      <c r="G15" s="23"/>
      <c r="I15" s="23"/>
      <c r="J15" s="23"/>
    </row>
    <row r="16" spans="1:10" x14ac:dyDescent="0.2">
      <c r="C16" s="22"/>
      <c r="D16" s="21"/>
      <c r="I16" s="23"/>
    </row>
    <row r="17" spans="1:10" s="20" customFormat="1" ht="16" x14ac:dyDescent="0.2">
      <c r="A17" s="16" t="s">
        <v>8</v>
      </c>
      <c r="B17" s="21"/>
      <c r="C17" s="22"/>
      <c r="D17" s="21"/>
      <c r="E17" s="23"/>
      <c r="F17" s="21"/>
      <c r="G17" s="21"/>
      <c r="H17" s="24"/>
      <c r="I17" s="21"/>
      <c r="J17" s="23"/>
    </row>
    <row r="18" spans="1:10" ht="16" x14ac:dyDescent="0.2">
      <c r="A18" s="12" t="s">
        <v>9</v>
      </c>
      <c r="B18" s="26">
        <v>0</v>
      </c>
      <c r="C18" s="22" t="s">
        <v>289</v>
      </c>
      <c r="D18" s="21"/>
      <c r="I18" s="23"/>
    </row>
    <row r="19" spans="1:10" ht="15" customHeight="1" x14ac:dyDescent="0.2">
      <c r="A19" s="12" t="s">
        <v>10</v>
      </c>
      <c r="B19" s="26">
        <f>SUM(Workings!G39:G40)</f>
        <v>24792</v>
      </c>
      <c r="C19" s="22"/>
      <c r="D19" s="21"/>
      <c r="I19" s="23"/>
    </row>
    <row r="20" spans="1:10" ht="16" x14ac:dyDescent="0.2">
      <c r="A20" s="12" t="s">
        <v>11</v>
      </c>
      <c r="B20" s="76">
        <f>SUM(Workings!G14:G38)</f>
        <v>25139</v>
      </c>
      <c r="C20" s="145"/>
      <c r="D20" s="21"/>
      <c r="I20" s="23"/>
    </row>
    <row r="21" spans="1:10" ht="16" x14ac:dyDescent="0.2">
      <c r="A21" s="12" t="s">
        <v>12</v>
      </c>
      <c r="B21" s="26">
        <f>SUM(Workings!G44:G46,Workings!G48,Workings!G51)</f>
        <v>89625</v>
      </c>
      <c r="C21" s="22"/>
      <c r="D21" s="21"/>
      <c r="I21" s="23"/>
    </row>
    <row r="22" spans="1:10" ht="16" x14ac:dyDescent="0.2">
      <c r="A22" s="12" t="s">
        <v>13</v>
      </c>
      <c r="B22" s="26">
        <f>SUM(Workings!G47,Workings!G49:G50,Workings!G52)</f>
        <v>8610</v>
      </c>
      <c r="C22" s="22"/>
      <c r="D22" s="21"/>
      <c r="I22" s="23"/>
    </row>
    <row r="23" spans="1:10" ht="16" x14ac:dyDescent="0.2">
      <c r="A23" s="12" t="s">
        <v>14</v>
      </c>
      <c r="B23" s="26">
        <f>SUM(Workings!G55:G64)</f>
        <v>58175</v>
      </c>
      <c r="C23" s="22"/>
      <c r="D23" s="21"/>
      <c r="I23" s="23"/>
    </row>
    <row r="24" spans="1:10" ht="16" x14ac:dyDescent="0.2">
      <c r="A24" s="17" t="s">
        <v>2</v>
      </c>
      <c r="B24" s="27">
        <f>SUM(B18:B23)</f>
        <v>206341</v>
      </c>
      <c r="C24" s="28"/>
      <c r="D24" s="21"/>
      <c r="I24" s="23"/>
    </row>
    <row r="25" spans="1:10" ht="15" customHeight="1" x14ac:dyDescent="0.2">
      <c r="C25" s="22"/>
      <c r="D25" s="21"/>
      <c r="I25" s="23"/>
    </row>
    <row r="26" spans="1:10" ht="15" customHeight="1" x14ac:dyDescent="0.2">
      <c r="A26" s="16" t="s">
        <v>15</v>
      </c>
      <c r="B26" s="21"/>
      <c r="C26" s="22"/>
      <c r="D26" s="21"/>
      <c r="E26" s="23"/>
      <c r="I26" s="23"/>
    </row>
    <row r="27" spans="1:10" ht="15" customHeight="1" x14ac:dyDescent="0.2">
      <c r="A27" s="2" t="s">
        <v>19</v>
      </c>
      <c r="B27" s="26">
        <f>SUM(Workings!G53:G54)</f>
        <v>4290</v>
      </c>
      <c r="C27" s="22"/>
      <c r="D27" s="21"/>
      <c r="I27" s="23"/>
    </row>
    <row r="28" spans="1:10" ht="15" customHeight="1" x14ac:dyDescent="0.2">
      <c r="A28" s="2" t="s">
        <v>20</v>
      </c>
      <c r="B28" s="26">
        <v>0</v>
      </c>
      <c r="C28" s="22"/>
      <c r="D28" s="21"/>
      <c r="I28" s="23"/>
    </row>
    <row r="29" spans="1:10" ht="15" customHeight="1" x14ac:dyDescent="0.2">
      <c r="A29" s="2" t="s">
        <v>17</v>
      </c>
      <c r="B29" s="26">
        <f>SUM(Workings!G86:G101)</f>
        <v>199780.3</v>
      </c>
      <c r="C29" s="22"/>
      <c r="D29" s="21"/>
      <c r="I29" s="23"/>
    </row>
    <row r="30" spans="1:10" ht="15" customHeight="1" x14ac:dyDescent="0.2">
      <c r="A30" s="17" t="s">
        <v>2</v>
      </c>
      <c r="B30" s="27">
        <f>SUM(B27:B29)</f>
        <v>204070.3</v>
      </c>
      <c r="C30" s="28"/>
      <c r="D30" s="21"/>
      <c r="I30" s="23"/>
    </row>
    <row r="31" spans="1:10" ht="15" customHeight="1" x14ac:dyDescent="0.2">
      <c r="A31" s="2"/>
      <c r="C31" s="22"/>
      <c r="D31" s="21"/>
      <c r="I31" s="23"/>
    </row>
    <row r="32" spans="1:10" ht="15" customHeight="1" x14ac:dyDescent="0.2">
      <c r="A32" s="18" t="s">
        <v>0</v>
      </c>
      <c r="B32" s="31">
        <f>B30+B24+B15+B9+B4</f>
        <v>910841.1197719709</v>
      </c>
      <c r="C32" s="32"/>
      <c r="D32" s="21"/>
      <c r="I32" s="23"/>
    </row>
    <row r="33" spans="1:10" x14ac:dyDescent="0.2">
      <c r="C33" s="22"/>
      <c r="D33" s="21"/>
      <c r="I33" s="23"/>
    </row>
    <row r="34" spans="1:10" x14ac:dyDescent="0.2">
      <c r="A34" s="12"/>
      <c r="C34" s="22"/>
      <c r="D34" s="21"/>
      <c r="I34" s="23"/>
    </row>
    <row r="35" spans="1:10" x14ac:dyDescent="0.2">
      <c r="A35" s="12"/>
      <c r="C35" s="22"/>
      <c r="D35" s="21"/>
      <c r="I35" s="23"/>
    </row>
    <row r="36" spans="1:10" x14ac:dyDescent="0.2">
      <c r="A36" s="12"/>
      <c r="C36" s="22"/>
      <c r="D36" s="21"/>
      <c r="I36" s="23"/>
    </row>
    <row r="37" spans="1:10" x14ac:dyDescent="0.2">
      <c r="A37" s="12"/>
      <c r="C37" s="22"/>
      <c r="D37" s="21"/>
      <c r="I37" s="23"/>
    </row>
    <row r="38" spans="1:10" x14ac:dyDescent="0.2">
      <c r="A38" s="12"/>
      <c r="C38" s="22"/>
      <c r="D38" s="21"/>
      <c r="I38" s="23"/>
    </row>
    <row r="39" spans="1:10" x14ac:dyDescent="0.2">
      <c r="A39" s="12"/>
      <c r="C39" s="22"/>
      <c r="D39" s="21"/>
      <c r="I39" s="23"/>
    </row>
    <row r="40" spans="1:10" x14ac:dyDescent="0.2">
      <c r="A40" s="12"/>
      <c r="C40" s="22"/>
      <c r="D40" s="21"/>
      <c r="I40" s="23"/>
    </row>
    <row r="41" spans="1:10" x14ac:dyDescent="0.2">
      <c r="A41" s="12"/>
      <c r="C41" s="22"/>
      <c r="D41" s="21"/>
      <c r="I41" s="23"/>
    </row>
    <row r="42" spans="1:10" x14ac:dyDescent="0.2">
      <c r="A42" s="16"/>
      <c r="B42" s="21"/>
      <c r="C42" s="22"/>
      <c r="D42" s="21"/>
      <c r="I42" s="23"/>
    </row>
    <row r="43" spans="1:10" x14ac:dyDescent="0.2">
      <c r="A43" s="2"/>
      <c r="C43" s="22"/>
      <c r="D43" s="21"/>
      <c r="I43" s="23"/>
    </row>
    <row r="44" spans="1:10" x14ac:dyDescent="0.2">
      <c r="A44" s="3"/>
      <c r="B44" s="21"/>
      <c r="C44" s="22"/>
      <c r="D44" s="21"/>
      <c r="E44" s="23"/>
      <c r="F44" s="21"/>
      <c r="G44" s="21"/>
      <c r="H44" s="24"/>
      <c r="I44" s="21"/>
      <c r="J44" s="23"/>
    </row>
    <row r="45" spans="1:10" x14ac:dyDescent="0.2">
      <c r="A45" s="12"/>
      <c r="C45" s="22"/>
      <c r="D45" s="21"/>
      <c r="I45" s="23"/>
    </row>
    <row r="46" spans="1:10" x14ac:dyDescent="0.2">
      <c r="A46" s="12"/>
      <c r="C46" s="22"/>
      <c r="D46" s="21"/>
      <c r="I46" s="23"/>
    </row>
    <row r="47" spans="1:10" x14ac:dyDescent="0.2">
      <c r="A47" s="12"/>
      <c r="C47" s="22"/>
      <c r="D47" s="21"/>
      <c r="I47" s="23"/>
    </row>
    <row r="48" spans="1:10" x14ac:dyDescent="0.2">
      <c r="A48" s="12"/>
      <c r="C48" s="22"/>
      <c r="D48" s="21"/>
      <c r="I48" s="23"/>
    </row>
    <row r="49" spans="1:10" x14ac:dyDescent="0.2">
      <c r="A49" s="12"/>
      <c r="C49" s="22"/>
      <c r="D49" s="21"/>
      <c r="I49" s="23"/>
    </row>
    <row r="50" spans="1:10" s="20" customFormat="1" x14ac:dyDescent="0.2">
      <c r="A50" s="12"/>
      <c r="B50" s="23"/>
      <c r="C50" s="22"/>
      <c r="D50" s="21"/>
      <c r="E50" s="23"/>
      <c r="F50" s="21"/>
      <c r="G50" s="21"/>
      <c r="H50" s="24"/>
      <c r="I50" s="21"/>
      <c r="J50" s="23"/>
    </row>
    <row r="51" spans="1:10" x14ac:dyDescent="0.2">
      <c r="A51" s="12"/>
      <c r="C51" s="22"/>
      <c r="D51" s="21"/>
      <c r="I51" s="23"/>
    </row>
    <row r="52" spans="1:10" x14ac:dyDescent="0.2">
      <c r="A52" s="12"/>
      <c r="C52" s="22"/>
      <c r="D52" s="21"/>
      <c r="I52" s="23"/>
    </row>
    <row r="53" spans="1:10" x14ac:dyDescent="0.2">
      <c r="A53" s="12"/>
      <c r="C53" s="22"/>
      <c r="D53" s="21"/>
      <c r="E53" s="23"/>
      <c r="F53" s="21"/>
      <c r="G53" s="21"/>
      <c r="H53" s="24"/>
      <c r="I53" s="21"/>
      <c r="J53" s="23"/>
    </row>
    <row r="54" spans="1:10" x14ac:dyDescent="0.2">
      <c r="A54" s="12"/>
      <c r="C54" s="22"/>
      <c r="D54" s="21"/>
      <c r="I54" s="23"/>
    </row>
    <row r="55" spans="1:10" x14ac:dyDescent="0.2">
      <c r="A55" s="12"/>
      <c r="C55" s="22"/>
      <c r="D55" s="21"/>
      <c r="I55" s="23"/>
    </row>
    <row r="56" spans="1:10" x14ac:dyDescent="0.2">
      <c r="A56" s="12"/>
      <c r="C56" s="22"/>
      <c r="D56" s="21"/>
      <c r="I56" s="23"/>
    </row>
    <row r="57" spans="1:10" x14ac:dyDescent="0.2">
      <c r="A57" s="12"/>
      <c r="C57" s="22"/>
      <c r="D57" s="21"/>
      <c r="I57" s="23"/>
    </row>
    <row r="58" spans="1:10" x14ac:dyDescent="0.2">
      <c r="A58" s="12"/>
      <c r="C58" s="22"/>
      <c r="D58" s="21"/>
      <c r="I58" s="23"/>
    </row>
    <row r="59" spans="1:10" x14ac:dyDescent="0.2">
      <c r="A59" s="12"/>
      <c r="C59" s="22"/>
      <c r="D59" s="21"/>
      <c r="I59" s="23"/>
    </row>
    <row r="60" spans="1:10" x14ac:dyDescent="0.2">
      <c r="A60" s="16"/>
      <c r="B60" s="21"/>
      <c r="C60" s="22"/>
      <c r="D60" s="21"/>
      <c r="I60" s="23"/>
    </row>
    <row r="61" spans="1:10" x14ac:dyDescent="0.2">
      <c r="C61" s="22"/>
      <c r="D61" s="21"/>
      <c r="I61" s="23"/>
    </row>
    <row r="62" spans="1:10" s="20" customFormat="1" x14ac:dyDescent="0.2">
      <c r="A62" s="16"/>
      <c r="B62" s="21"/>
      <c r="C62" s="22"/>
      <c r="D62" s="21"/>
      <c r="E62" s="23"/>
      <c r="F62" s="21"/>
      <c r="G62" s="21"/>
      <c r="H62" s="24"/>
      <c r="I62" s="21"/>
      <c r="J62" s="23"/>
    </row>
    <row r="63" spans="1:10" x14ac:dyDescent="0.2">
      <c r="A63" s="12"/>
      <c r="C63" s="22"/>
      <c r="D63" s="21"/>
      <c r="E63" s="23"/>
      <c r="F63" s="23"/>
      <c r="G63" s="23"/>
      <c r="I63" s="23"/>
      <c r="J63" s="23"/>
    </row>
    <row r="64" spans="1:10" x14ac:dyDescent="0.2">
      <c r="A64" s="19"/>
      <c r="C64" s="22"/>
      <c r="D64" s="21"/>
      <c r="E64" s="23"/>
      <c r="F64" s="23"/>
      <c r="G64" s="23"/>
      <c r="I64" s="23"/>
      <c r="J64" s="23"/>
    </row>
    <row r="65" spans="1:10" x14ac:dyDescent="0.2">
      <c r="A65" s="16"/>
      <c r="B65" s="21"/>
      <c r="C65" s="22"/>
      <c r="D65" s="21"/>
      <c r="E65" s="23"/>
      <c r="F65" s="23"/>
      <c r="G65" s="23"/>
      <c r="I65" s="23"/>
      <c r="J65" s="23"/>
    </row>
    <row r="66" spans="1:10" ht="14.5" customHeight="1" x14ac:dyDescent="0.2">
      <c r="A66" s="2"/>
      <c r="C66" s="22"/>
      <c r="D66" s="21"/>
      <c r="E66" s="23"/>
      <c r="F66" s="23"/>
      <c r="G66" s="23"/>
      <c r="I66" s="23"/>
      <c r="J66" s="23"/>
    </row>
    <row r="67" spans="1:10" s="20" customFormat="1" x14ac:dyDescent="0.2">
      <c r="A67" s="16"/>
      <c r="B67" s="21"/>
      <c r="C67" s="22"/>
      <c r="D67" s="21"/>
      <c r="E67" s="23"/>
      <c r="F67" s="21"/>
      <c r="G67" s="21"/>
      <c r="H67" s="24"/>
      <c r="I67" s="21"/>
      <c r="J67" s="23"/>
    </row>
    <row r="68" spans="1:10" x14ac:dyDescent="0.2">
      <c r="C68" s="22"/>
      <c r="D68" s="21"/>
      <c r="E68" s="23"/>
      <c r="F68" s="23"/>
      <c r="G68" s="23"/>
      <c r="I68" s="23"/>
      <c r="J68" s="23"/>
    </row>
    <row r="69" spans="1:10" x14ac:dyDescent="0.2">
      <c r="C69" s="22"/>
      <c r="D69" s="21"/>
      <c r="E69" s="23"/>
      <c r="F69" s="23"/>
      <c r="G69" s="23"/>
      <c r="I69" s="23"/>
      <c r="J69" s="23"/>
    </row>
    <row r="70" spans="1:10" x14ac:dyDescent="0.2">
      <c r="A70" s="16"/>
      <c r="C70" s="22"/>
      <c r="D70" s="23"/>
      <c r="E70" s="23"/>
      <c r="F70" s="23"/>
      <c r="G70" s="23"/>
      <c r="I70" s="23"/>
      <c r="J70" s="23"/>
    </row>
    <row r="71" spans="1:10" s="20" customFormat="1" x14ac:dyDescent="0.2">
      <c r="A71" s="15"/>
      <c r="B71" s="21"/>
      <c r="C71" s="22"/>
      <c r="D71" s="23"/>
      <c r="E71" s="25"/>
      <c r="F71" s="25"/>
      <c r="G71" s="25"/>
      <c r="H71" s="29"/>
      <c r="I71" s="25"/>
      <c r="J71" s="25"/>
    </row>
    <row r="72" spans="1:10" x14ac:dyDescent="0.2">
      <c r="C72" s="22"/>
      <c r="D72" s="23"/>
    </row>
    <row r="73" spans="1:10" s="20" customFormat="1" x14ac:dyDescent="0.2">
      <c r="A73" s="16"/>
      <c r="B73" s="21"/>
      <c r="C73" s="22"/>
      <c r="D73" s="21"/>
      <c r="E73" s="25"/>
      <c r="F73" s="25"/>
      <c r="G73" s="25"/>
      <c r="H73" s="29"/>
      <c r="I73" s="25"/>
      <c r="J73" s="25"/>
    </row>
    <row r="74" spans="1:10" x14ac:dyDescent="0.2">
      <c r="C74" s="22"/>
      <c r="D74" s="21"/>
    </row>
    <row r="75" spans="1:10" x14ac:dyDescent="0.2">
      <c r="C75" s="22"/>
      <c r="D75" s="21"/>
    </row>
    <row r="76" spans="1:10" s="20" customFormat="1" x14ac:dyDescent="0.2">
      <c r="A76" s="16"/>
      <c r="B76" s="21"/>
      <c r="C76" s="22"/>
      <c r="D76" s="21"/>
      <c r="E76" s="23"/>
      <c r="F76" s="23"/>
      <c r="G76" s="23"/>
      <c r="H76" s="29"/>
      <c r="I76" s="23"/>
      <c r="J76" s="23"/>
    </row>
    <row r="77" spans="1:10" x14ac:dyDescent="0.2">
      <c r="C77" s="22"/>
      <c r="D77" s="21"/>
    </row>
    <row r="78" spans="1:10" x14ac:dyDescent="0.2">
      <c r="C78" s="22"/>
      <c r="D78" s="21"/>
    </row>
    <row r="79" spans="1:10" x14ac:dyDescent="0.2">
      <c r="C79" s="33"/>
      <c r="D79" s="34"/>
    </row>
    <row r="80" spans="1:10" x14ac:dyDescent="0.2">
      <c r="C80" s="22"/>
      <c r="D80" s="21"/>
    </row>
    <row r="81" spans="3:4" x14ac:dyDescent="0.2">
      <c r="C81" s="22"/>
      <c r="D81" s="21"/>
    </row>
    <row r="82" spans="3:4" x14ac:dyDescent="0.2">
      <c r="C82" s="22"/>
      <c r="D82" s="21"/>
    </row>
    <row r="83" spans="3:4" x14ac:dyDescent="0.2">
      <c r="C83" s="22"/>
      <c r="D83" s="21"/>
    </row>
    <row r="84" spans="3:4" x14ac:dyDescent="0.2">
      <c r="C84" s="22"/>
      <c r="D84" s="21"/>
    </row>
    <row r="85" spans="3:4" x14ac:dyDescent="0.2">
      <c r="C85" s="22"/>
      <c r="D85" s="21"/>
    </row>
    <row r="86" spans="3:4" x14ac:dyDescent="0.2">
      <c r="C86" s="22"/>
      <c r="D86" s="21"/>
    </row>
    <row r="87" spans="3:4" x14ac:dyDescent="0.2">
      <c r="C87" s="22"/>
      <c r="D87" s="21"/>
    </row>
    <row r="88" spans="3:4" x14ac:dyDescent="0.2">
      <c r="C88" s="22"/>
      <c r="D88" s="21"/>
    </row>
    <row r="89" spans="3:4" x14ac:dyDescent="0.2">
      <c r="C89" s="22"/>
      <c r="D89" s="21"/>
    </row>
    <row r="90" spans="3:4" x14ac:dyDescent="0.2">
      <c r="C90" s="22"/>
      <c r="D90" s="21"/>
    </row>
    <row r="91" spans="3:4" x14ac:dyDescent="0.2">
      <c r="C91" s="22"/>
      <c r="D91" s="21"/>
    </row>
    <row r="92" spans="3:4" x14ac:dyDescent="0.2">
      <c r="C92" s="22"/>
      <c r="D92" s="21"/>
    </row>
    <row r="93" spans="3:4" x14ac:dyDescent="0.2">
      <c r="C93" s="22"/>
      <c r="D93" s="21"/>
    </row>
    <row r="94" spans="3:4" x14ac:dyDescent="0.2">
      <c r="C94" s="22"/>
      <c r="D94" s="21"/>
    </row>
    <row r="95" spans="3:4" x14ac:dyDescent="0.2">
      <c r="C95" s="22"/>
      <c r="D95" s="21"/>
    </row>
    <row r="96" spans="3:4" x14ac:dyDescent="0.2">
      <c r="C96" s="22"/>
      <c r="D96" s="21"/>
    </row>
    <row r="97" spans="3:4" x14ac:dyDescent="0.2">
      <c r="C97" s="22"/>
      <c r="D97" s="21"/>
    </row>
    <row r="98" spans="3:4" x14ac:dyDescent="0.2">
      <c r="C98" s="22"/>
      <c r="D98" s="21"/>
    </row>
    <row r="99" spans="3:4" x14ac:dyDescent="0.2">
      <c r="C99" s="22"/>
      <c r="D99" s="21"/>
    </row>
    <row r="100" spans="3:4" x14ac:dyDescent="0.2">
      <c r="C100" s="22"/>
      <c r="D100" s="21"/>
    </row>
    <row r="101" spans="3:4" x14ac:dyDescent="0.2">
      <c r="C101" s="22"/>
      <c r="D101" s="21"/>
    </row>
    <row r="102" spans="3:4" x14ac:dyDescent="0.2">
      <c r="C102" s="22"/>
      <c r="D102" s="21"/>
    </row>
    <row r="103" spans="3:4" x14ac:dyDescent="0.2">
      <c r="C103" s="22"/>
      <c r="D103" s="21"/>
    </row>
    <row r="104" spans="3:4" x14ac:dyDescent="0.2">
      <c r="C104" s="22"/>
      <c r="D104" s="21"/>
    </row>
    <row r="105" spans="3:4" x14ac:dyDescent="0.2">
      <c r="C105" s="22"/>
      <c r="D105" s="21"/>
    </row>
    <row r="106" spans="3:4" x14ac:dyDescent="0.2">
      <c r="C106" s="22"/>
      <c r="D106" s="21"/>
    </row>
    <row r="107" spans="3:4" x14ac:dyDescent="0.2">
      <c r="C107" s="22"/>
      <c r="D107" s="21"/>
    </row>
    <row r="108" spans="3:4" x14ac:dyDescent="0.2">
      <c r="C108" s="22"/>
      <c r="D108" s="21"/>
    </row>
    <row r="109" spans="3:4" x14ac:dyDescent="0.2">
      <c r="C109" s="22"/>
      <c r="D109" s="21"/>
    </row>
    <row r="110" spans="3:4" x14ac:dyDescent="0.2">
      <c r="C110" s="22"/>
      <c r="D110" s="21"/>
    </row>
    <row r="111" spans="3:4" x14ac:dyDescent="0.2">
      <c r="C111" s="22"/>
      <c r="D111" s="21"/>
    </row>
    <row r="112" spans="3:4" x14ac:dyDescent="0.2">
      <c r="C112" s="22"/>
      <c r="D112" s="21"/>
    </row>
    <row r="113" spans="3:4" x14ac:dyDescent="0.2">
      <c r="C113" s="22"/>
      <c r="D113" s="21"/>
    </row>
    <row r="114" spans="3:4" x14ac:dyDescent="0.2">
      <c r="C114" s="22"/>
      <c r="D114" s="21"/>
    </row>
    <row r="115" spans="3:4" x14ac:dyDescent="0.2">
      <c r="C115" s="22"/>
      <c r="D115" s="21"/>
    </row>
    <row r="116" spans="3:4" x14ac:dyDescent="0.2">
      <c r="C116" s="22"/>
      <c r="D116" s="21"/>
    </row>
    <row r="117" spans="3:4" x14ac:dyDescent="0.2">
      <c r="C117" s="22"/>
      <c r="D117" s="21"/>
    </row>
    <row r="118" spans="3:4" x14ac:dyDescent="0.2">
      <c r="C118" s="22"/>
      <c r="D118" s="21"/>
    </row>
    <row r="119" spans="3:4" x14ac:dyDescent="0.2">
      <c r="C119" s="22"/>
      <c r="D119" s="21"/>
    </row>
    <row r="120" spans="3:4" x14ac:dyDescent="0.2">
      <c r="C120" s="22"/>
      <c r="D120" s="21"/>
    </row>
    <row r="121" spans="3:4" x14ac:dyDescent="0.2">
      <c r="C121" s="22"/>
      <c r="D121" s="21"/>
    </row>
    <row r="122" spans="3:4" x14ac:dyDescent="0.2">
      <c r="C122" s="22"/>
      <c r="D122" s="21"/>
    </row>
    <row r="123" spans="3:4" x14ac:dyDescent="0.2">
      <c r="C123" s="22"/>
      <c r="D123" s="21"/>
    </row>
    <row r="124" spans="3:4" x14ac:dyDescent="0.2">
      <c r="C124" s="22"/>
      <c r="D124" s="21"/>
    </row>
    <row r="125" spans="3:4" x14ac:dyDescent="0.2">
      <c r="C125" s="22"/>
      <c r="D125" s="21"/>
    </row>
    <row r="126" spans="3:4" x14ac:dyDescent="0.2">
      <c r="C126" s="22"/>
      <c r="D126" s="21"/>
    </row>
    <row r="127" spans="3:4" x14ac:dyDescent="0.2">
      <c r="C127" s="22"/>
      <c r="D127" s="21"/>
    </row>
    <row r="128" spans="3:4" x14ac:dyDescent="0.2">
      <c r="C128" s="22"/>
      <c r="D128" s="21"/>
    </row>
    <row r="129" spans="3:4" x14ac:dyDescent="0.2">
      <c r="C129" s="22"/>
      <c r="D129" s="21"/>
    </row>
    <row r="130" spans="3:4" x14ac:dyDescent="0.2">
      <c r="C130" s="22"/>
      <c r="D130" s="21"/>
    </row>
    <row r="131" spans="3:4" x14ac:dyDescent="0.2">
      <c r="C131" s="22"/>
      <c r="D131" s="21"/>
    </row>
    <row r="132" spans="3:4" x14ac:dyDescent="0.2">
      <c r="C132" s="22"/>
      <c r="D132" s="21"/>
    </row>
    <row r="133" spans="3:4" x14ac:dyDescent="0.2">
      <c r="C133" s="22"/>
      <c r="D133" s="21"/>
    </row>
    <row r="134" spans="3:4" x14ac:dyDescent="0.2">
      <c r="C134" s="22"/>
      <c r="D134" s="21"/>
    </row>
    <row r="135" spans="3:4" x14ac:dyDescent="0.2">
      <c r="C135" s="22"/>
      <c r="D135" s="21"/>
    </row>
    <row r="136" spans="3:4" x14ac:dyDescent="0.2">
      <c r="C136" s="22"/>
      <c r="D136" s="21"/>
    </row>
    <row r="137" spans="3:4" x14ac:dyDescent="0.2">
      <c r="C137" s="22"/>
      <c r="D137" s="21"/>
    </row>
    <row r="138" spans="3:4" x14ac:dyDescent="0.2">
      <c r="C138" s="22"/>
      <c r="D138" s="21"/>
    </row>
  </sheetData>
  <mergeCells count="1">
    <mergeCell ref="C7:C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50EC7-015D-4CA5-A8F2-E6B64FD6C181}">
  <dimension ref="B1:J103"/>
  <sheetViews>
    <sheetView zoomScale="90" zoomScaleNormal="90" workbookViewId="0">
      <pane xSplit="1" ySplit="3" topLeftCell="B84" activePane="bottomRight" state="frozen"/>
      <selection activeCell="G16" sqref="G16"/>
      <selection pane="topRight" activeCell="G16" sqref="G16"/>
      <selection pane="bottomLeft" activeCell="G16" sqref="G16"/>
      <selection pane="bottomRight" activeCell="H91" sqref="H91"/>
    </sheetView>
  </sheetViews>
  <sheetFormatPr baseColWidth="10" defaultColWidth="8.83203125" defaultRowHeight="15" outlineLevelRow="1" x14ac:dyDescent="0.2"/>
  <cols>
    <col min="1" max="1" width="1.83203125" customWidth="1"/>
    <col min="2" max="2" width="24.83203125" customWidth="1"/>
    <col min="3" max="3" width="43.5" customWidth="1"/>
    <col min="4" max="4" width="10.33203125" customWidth="1"/>
    <col min="5" max="5" width="11" bestFit="1" customWidth="1"/>
    <col min="6" max="6" width="9.83203125" bestFit="1" customWidth="1"/>
    <col min="7" max="7" width="12.83203125" customWidth="1"/>
    <col min="8" max="8" width="57.5" customWidth="1"/>
    <col min="9" max="9" width="19.1640625" bestFit="1" customWidth="1"/>
    <col min="10" max="10" width="41.5" customWidth="1"/>
  </cols>
  <sheetData>
    <row r="1" spans="2:10" s="46" customFormat="1" ht="24" outlineLevel="1" x14ac:dyDescent="0.2">
      <c r="B1" s="41" t="s">
        <v>33</v>
      </c>
      <c r="C1" s="41"/>
      <c r="D1" s="42"/>
      <c r="E1" s="43"/>
      <c r="F1" s="44"/>
      <c r="G1" s="45"/>
      <c r="H1" s="42"/>
    </row>
    <row r="2" spans="2:10" s="46" customFormat="1" ht="21" x14ac:dyDescent="0.2">
      <c r="B2" s="157" t="s">
        <v>34</v>
      </c>
      <c r="C2" s="157"/>
      <c r="D2" s="158" t="s">
        <v>35</v>
      </c>
      <c r="E2" s="159"/>
      <c r="F2" s="159"/>
      <c r="G2" s="159"/>
      <c r="H2" s="160"/>
      <c r="J2" s="47"/>
    </row>
    <row r="3" spans="2:10" s="56" customFormat="1" ht="30" x14ac:dyDescent="0.2">
      <c r="B3" s="48" t="s">
        <v>36</v>
      </c>
      <c r="C3" s="49" t="s">
        <v>37</v>
      </c>
      <c r="D3" s="50" t="s">
        <v>38</v>
      </c>
      <c r="E3" s="51" t="s">
        <v>39</v>
      </c>
      <c r="F3" s="51" t="s">
        <v>40</v>
      </c>
      <c r="G3" s="52" t="s">
        <v>41</v>
      </c>
      <c r="H3" s="53" t="s">
        <v>42</v>
      </c>
      <c r="I3" s="54" t="s">
        <v>43</v>
      </c>
      <c r="J3" s="55"/>
    </row>
    <row r="4" spans="2:10" s="83" customFormat="1" ht="30" x14ac:dyDescent="0.2">
      <c r="B4" s="77" t="s">
        <v>44</v>
      </c>
      <c r="C4" s="78" t="s">
        <v>45</v>
      </c>
      <c r="D4" s="79" t="s">
        <v>46</v>
      </c>
      <c r="E4" s="80">
        <v>30</v>
      </c>
      <c r="F4" s="80">
        <v>60</v>
      </c>
      <c r="G4" s="80">
        <f>E4*F4</f>
        <v>1800</v>
      </c>
      <c r="H4" s="81" t="s">
        <v>252</v>
      </c>
      <c r="I4" s="82" t="s">
        <v>47</v>
      </c>
    </row>
    <row r="5" spans="2:10" s="83" customFormat="1" ht="30" x14ac:dyDescent="0.2">
      <c r="B5" s="77" t="s">
        <v>44</v>
      </c>
      <c r="C5" s="78" t="s">
        <v>48</v>
      </c>
      <c r="D5" s="79" t="s">
        <v>46</v>
      </c>
      <c r="E5" s="80">
        <v>10</v>
      </c>
      <c r="F5" s="80">
        <v>60</v>
      </c>
      <c r="G5" s="80">
        <f>E5*F5</f>
        <v>600</v>
      </c>
      <c r="H5" s="81" t="s">
        <v>245</v>
      </c>
      <c r="I5" s="82" t="s">
        <v>47</v>
      </c>
    </row>
    <row r="6" spans="2:10" s="83" customFormat="1" ht="30" x14ac:dyDescent="0.2">
      <c r="B6" s="77" t="s">
        <v>44</v>
      </c>
      <c r="C6" s="78" t="s">
        <v>49</v>
      </c>
      <c r="D6" s="79" t="s">
        <v>46</v>
      </c>
      <c r="E6" s="80">
        <v>20</v>
      </c>
      <c r="F6" s="80">
        <v>36</v>
      </c>
      <c r="G6" s="80">
        <f>E6*F6</f>
        <v>720</v>
      </c>
      <c r="H6" s="81" t="s">
        <v>50</v>
      </c>
      <c r="I6" s="82" t="s">
        <v>47</v>
      </c>
    </row>
    <row r="7" spans="2:10" s="83" customFormat="1" ht="30" x14ac:dyDescent="0.2">
      <c r="B7" s="77" t="s">
        <v>44</v>
      </c>
      <c r="C7" s="78" t="s">
        <v>51</v>
      </c>
      <c r="D7" s="79" t="s">
        <v>52</v>
      </c>
      <c r="E7" s="80">
        <v>10</v>
      </c>
      <c r="F7" s="80">
        <v>60</v>
      </c>
      <c r="G7" s="80">
        <f t="shared" ref="G7:G43" si="0">E7*F7</f>
        <v>600</v>
      </c>
      <c r="H7" s="81" t="s">
        <v>53</v>
      </c>
      <c r="I7" s="82" t="s">
        <v>47</v>
      </c>
    </row>
    <row r="8" spans="2:10" s="83" customFormat="1" ht="30" x14ac:dyDescent="0.2">
      <c r="B8" s="77" t="s">
        <v>44</v>
      </c>
      <c r="C8" s="78" t="s">
        <v>224</v>
      </c>
      <c r="D8" s="79" t="s">
        <v>54</v>
      </c>
      <c r="E8" s="80">
        <v>5</v>
      </c>
      <c r="F8" s="80">
        <f>25*5</f>
        <v>125</v>
      </c>
      <c r="G8" s="80">
        <f t="shared" si="0"/>
        <v>625</v>
      </c>
      <c r="H8" s="81" t="s">
        <v>246</v>
      </c>
      <c r="I8" s="82" t="s">
        <v>47</v>
      </c>
    </row>
    <row r="9" spans="2:10" s="83" customFormat="1" ht="30" x14ac:dyDescent="0.2">
      <c r="B9" s="77" t="s">
        <v>44</v>
      </c>
      <c r="C9" s="78" t="s">
        <v>55</v>
      </c>
      <c r="D9" s="79" t="s">
        <v>56</v>
      </c>
      <c r="E9" s="80">
        <v>8</v>
      </c>
      <c r="F9" s="80">
        <v>105</v>
      </c>
      <c r="G9" s="80">
        <f t="shared" si="0"/>
        <v>840</v>
      </c>
      <c r="H9" s="81" t="s">
        <v>57</v>
      </c>
      <c r="I9" s="82" t="s">
        <v>47</v>
      </c>
    </row>
    <row r="10" spans="2:10" s="83" customFormat="1" ht="30" x14ac:dyDescent="0.2">
      <c r="B10" s="77" t="s">
        <v>44</v>
      </c>
      <c r="C10" s="78" t="s">
        <v>58</v>
      </c>
      <c r="D10" s="79" t="s">
        <v>59</v>
      </c>
      <c r="E10" s="80">
        <v>1</v>
      </c>
      <c r="F10" s="80">
        <v>60</v>
      </c>
      <c r="G10" s="80">
        <f t="shared" si="0"/>
        <v>60</v>
      </c>
      <c r="H10" s="81" t="s">
        <v>60</v>
      </c>
      <c r="I10" s="82" t="s">
        <v>47</v>
      </c>
      <c r="J10" s="84"/>
    </row>
    <row r="11" spans="2:10" s="83" customFormat="1" ht="30" x14ac:dyDescent="0.2">
      <c r="B11" s="77" t="s">
        <v>44</v>
      </c>
      <c r="C11" s="79" t="s">
        <v>222</v>
      </c>
      <c r="D11" s="79" t="s">
        <v>59</v>
      </c>
      <c r="E11" s="80">
        <v>20</v>
      </c>
      <c r="F11" s="80">
        <v>60</v>
      </c>
      <c r="G11" s="80">
        <f>E11*F11</f>
        <v>1200</v>
      </c>
      <c r="H11" s="81" t="s">
        <v>61</v>
      </c>
      <c r="I11" s="82" t="s">
        <v>47</v>
      </c>
    </row>
    <row r="12" spans="2:10" s="83" customFormat="1" ht="30" x14ac:dyDescent="0.2">
      <c r="B12" s="77" t="s">
        <v>44</v>
      </c>
      <c r="C12" s="79" t="s">
        <v>223</v>
      </c>
      <c r="D12" s="79" t="s">
        <v>62</v>
      </c>
      <c r="E12" s="80">
        <v>3</v>
      </c>
      <c r="F12" s="80">
        <v>324</v>
      </c>
      <c r="G12" s="80">
        <f>E12*F12</f>
        <v>972</v>
      </c>
      <c r="H12" s="81" t="s">
        <v>247</v>
      </c>
      <c r="I12" s="82" t="s">
        <v>47</v>
      </c>
    </row>
    <row r="13" spans="2:10" s="83" customFormat="1" ht="30" x14ac:dyDescent="0.2">
      <c r="B13" s="77" t="s">
        <v>44</v>
      </c>
      <c r="C13" s="78" t="s">
        <v>63</v>
      </c>
      <c r="D13" s="79" t="s">
        <v>56</v>
      </c>
      <c r="E13" s="80">
        <v>4</v>
      </c>
      <c r="F13" s="80">
        <v>28</v>
      </c>
      <c r="G13" s="80">
        <f t="shared" si="0"/>
        <v>112</v>
      </c>
      <c r="H13" s="81" t="s">
        <v>64</v>
      </c>
      <c r="I13" s="82" t="s">
        <v>47</v>
      </c>
    </row>
    <row r="14" spans="2:10" s="91" customFormat="1" ht="30" x14ac:dyDescent="0.2">
      <c r="B14" s="85" t="s">
        <v>65</v>
      </c>
      <c r="C14" s="86" t="s">
        <v>66</v>
      </c>
      <c r="D14" s="87" t="s">
        <v>67</v>
      </c>
      <c r="E14" s="88">
        <v>100</v>
      </c>
      <c r="F14" s="88">
        <f>2*1</f>
        <v>2</v>
      </c>
      <c r="G14" s="88">
        <f t="shared" si="0"/>
        <v>200</v>
      </c>
      <c r="H14" s="89" t="s">
        <v>239</v>
      </c>
      <c r="I14" s="90">
        <v>45809</v>
      </c>
    </row>
    <row r="15" spans="2:10" s="91" customFormat="1" ht="30" x14ac:dyDescent="0.2">
      <c r="B15" s="85" t="s">
        <v>69</v>
      </c>
      <c r="C15" s="86" t="s">
        <v>70</v>
      </c>
      <c r="D15" s="87" t="s">
        <v>71</v>
      </c>
      <c r="E15" s="88">
        <v>10</v>
      </c>
      <c r="F15" s="88">
        <f>43*1</f>
        <v>43</v>
      </c>
      <c r="G15" s="88">
        <f t="shared" si="0"/>
        <v>430</v>
      </c>
      <c r="H15" s="89" t="s">
        <v>253</v>
      </c>
      <c r="I15" s="90">
        <v>45809</v>
      </c>
    </row>
    <row r="16" spans="2:10" s="91" customFormat="1" ht="30" x14ac:dyDescent="0.2">
      <c r="B16" s="85" t="s">
        <v>69</v>
      </c>
      <c r="C16" s="86" t="s">
        <v>72</v>
      </c>
      <c r="D16" s="87" t="s">
        <v>71</v>
      </c>
      <c r="E16" s="88">
        <v>8</v>
      </c>
      <c r="F16" s="88">
        <f>43*1</f>
        <v>43</v>
      </c>
      <c r="G16" s="88">
        <f t="shared" si="0"/>
        <v>344</v>
      </c>
      <c r="H16" s="89" t="s">
        <v>254</v>
      </c>
      <c r="I16" s="92">
        <v>45801</v>
      </c>
    </row>
    <row r="17" spans="2:9" s="91" customFormat="1" ht="30" x14ac:dyDescent="0.2">
      <c r="B17" s="85" t="s">
        <v>69</v>
      </c>
      <c r="C17" s="86" t="s">
        <v>73</v>
      </c>
      <c r="D17" s="87" t="s">
        <v>71</v>
      </c>
      <c r="E17" s="88">
        <v>5</v>
      </c>
      <c r="F17" s="88">
        <f>43*1</f>
        <v>43</v>
      </c>
      <c r="G17" s="88">
        <f t="shared" si="0"/>
        <v>215</v>
      </c>
      <c r="H17" s="89" t="s">
        <v>255</v>
      </c>
      <c r="I17" s="92">
        <v>45801</v>
      </c>
    </row>
    <row r="18" spans="2:9" s="91" customFormat="1" ht="30" x14ac:dyDescent="0.2">
      <c r="B18" s="85" t="s">
        <v>69</v>
      </c>
      <c r="C18" s="86" t="s">
        <v>74</v>
      </c>
      <c r="D18" s="87" t="s">
        <v>71</v>
      </c>
      <c r="E18" s="88">
        <v>5</v>
      </c>
      <c r="F18" s="88">
        <f>43*1</f>
        <v>43</v>
      </c>
      <c r="G18" s="88">
        <f t="shared" si="0"/>
        <v>215</v>
      </c>
      <c r="H18" s="89" t="s">
        <v>256</v>
      </c>
      <c r="I18" s="93">
        <v>45833</v>
      </c>
    </row>
    <row r="19" spans="2:9" s="91" customFormat="1" ht="30" x14ac:dyDescent="0.2">
      <c r="B19" s="85" t="s">
        <v>69</v>
      </c>
      <c r="C19" s="86" t="s">
        <v>75</v>
      </c>
      <c r="D19" s="87" t="s">
        <v>71</v>
      </c>
      <c r="E19" s="88">
        <v>15</v>
      </c>
      <c r="F19" s="88">
        <f>43*1</f>
        <v>43</v>
      </c>
      <c r="G19" s="88">
        <f t="shared" si="0"/>
        <v>645</v>
      </c>
      <c r="H19" s="89" t="s">
        <v>76</v>
      </c>
      <c r="I19" s="90">
        <v>45444</v>
      </c>
    </row>
    <row r="20" spans="2:9" s="91" customFormat="1" ht="30" x14ac:dyDescent="0.2">
      <c r="B20" s="85" t="s">
        <v>69</v>
      </c>
      <c r="C20" s="86" t="s">
        <v>77</v>
      </c>
      <c r="D20" s="87" t="s">
        <v>71</v>
      </c>
      <c r="E20" s="88">
        <v>15</v>
      </c>
      <c r="F20" s="88">
        <f>3*2</f>
        <v>6</v>
      </c>
      <c r="G20" s="88">
        <f t="shared" si="0"/>
        <v>90</v>
      </c>
      <c r="H20" s="89" t="s">
        <v>78</v>
      </c>
      <c r="I20" s="93">
        <v>45467</v>
      </c>
    </row>
    <row r="21" spans="2:9" s="91" customFormat="1" ht="30" x14ac:dyDescent="0.2">
      <c r="B21" s="85" t="s">
        <v>69</v>
      </c>
      <c r="C21" s="86" t="s">
        <v>79</v>
      </c>
      <c r="D21" s="87" t="s">
        <v>71</v>
      </c>
      <c r="E21" s="88">
        <v>25</v>
      </c>
      <c r="F21" s="88">
        <f>3*2</f>
        <v>6</v>
      </c>
      <c r="G21" s="88">
        <f t="shared" si="0"/>
        <v>150</v>
      </c>
      <c r="H21" s="89" t="s">
        <v>257</v>
      </c>
      <c r="I21" s="93">
        <v>45468</v>
      </c>
    </row>
    <row r="22" spans="2:9" s="91" customFormat="1" ht="30" x14ac:dyDescent="0.2">
      <c r="B22" s="85" t="s">
        <v>69</v>
      </c>
      <c r="C22" s="86" t="s">
        <v>80</v>
      </c>
      <c r="D22" s="87" t="s">
        <v>81</v>
      </c>
      <c r="E22" s="88">
        <v>500</v>
      </c>
      <c r="F22" s="88">
        <v>1</v>
      </c>
      <c r="G22" s="88">
        <f t="shared" si="0"/>
        <v>500</v>
      </c>
      <c r="H22" s="89" t="s">
        <v>240</v>
      </c>
      <c r="I22" s="93">
        <v>45468</v>
      </c>
    </row>
    <row r="23" spans="2:9" s="100" customFormat="1" ht="45" x14ac:dyDescent="0.2">
      <c r="B23" s="94" t="s">
        <v>82</v>
      </c>
      <c r="C23" s="95" t="s">
        <v>66</v>
      </c>
      <c r="D23" s="96" t="s">
        <v>67</v>
      </c>
      <c r="E23" s="97">
        <v>50</v>
      </c>
      <c r="F23" s="97">
        <f>1*7</f>
        <v>7</v>
      </c>
      <c r="G23" s="97">
        <f t="shared" si="0"/>
        <v>350</v>
      </c>
      <c r="H23" s="98" t="s">
        <v>259</v>
      </c>
      <c r="I23" s="99">
        <v>45801</v>
      </c>
    </row>
    <row r="24" spans="2:9" s="100" customFormat="1" ht="45" x14ac:dyDescent="0.2">
      <c r="B24" s="94" t="s">
        <v>82</v>
      </c>
      <c r="C24" s="95" t="s">
        <v>83</v>
      </c>
      <c r="D24" s="96" t="s">
        <v>84</v>
      </c>
      <c r="E24" s="97">
        <v>500</v>
      </c>
      <c r="F24" s="97">
        <v>1</v>
      </c>
      <c r="G24" s="97">
        <f t="shared" si="0"/>
        <v>500</v>
      </c>
      <c r="H24" s="98" t="s">
        <v>85</v>
      </c>
      <c r="I24" s="99">
        <v>45801</v>
      </c>
    </row>
    <row r="25" spans="2:9" s="100" customFormat="1" ht="45" x14ac:dyDescent="0.2">
      <c r="B25" s="94" t="s">
        <v>82</v>
      </c>
      <c r="C25" s="95" t="s">
        <v>73</v>
      </c>
      <c r="D25" s="96" t="s">
        <v>71</v>
      </c>
      <c r="E25" s="97">
        <v>5</v>
      </c>
      <c r="F25" s="97">
        <f>269+18</f>
        <v>287</v>
      </c>
      <c r="G25" s="97">
        <f t="shared" si="0"/>
        <v>1435</v>
      </c>
      <c r="H25" s="98" t="s">
        <v>260</v>
      </c>
      <c r="I25" s="99">
        <v>45801</v>
      </c>
    </row>
    <row r="26" spans="2:9" s="100" customFormat="1" ht="45" x14ac:dyDescent="0.2">
      <c r="B26" s="94" t="s">
        <v>82</v>
      </c>
      <c r="C26" s="95" t="s">
        <v>86</v>
      </c>
      <c r="D26" s="96" t="s">
        <v>87</v>
      </c>
      <c r="E26" s="97">
        <v>10</v>
      </c>
      <c r="F26" s="97">
        <f>17+316-60</f>
        <v>273</v>
      </c>
      <c r="G26" s="97">
        <f t="shared" si="0"/>
        <v>2730</v>
      </c>
      <c r="H26" s="98" t="s">
        <v>268</v>
      </c>
      <c r="I26" s="99">
        <v>45801</v>
      </c>
    </row>
    <row r="27" spans="2:9" s="100" customFormat="1" ht="45" x14ac:dyDescent="0.2">
      <c r="B27" s="94" t="s">
        <v>82</v>
      </c>
      <c r="C27" s="95" t="s">
        <v>72</v>
      </c>
      <c r="D27" s="96" t="s">
        <v>71</v>
      </c>
      <c r="E27" s="97">
        <v>10</v>
      </c>
      <c r="F27" s="97">
        <f>269+18</f>
        <v>287</v>
      </c>
      <c r="G27" s="97">
        <f t="shared" si="0"/>
        <v>2870</v>
      </c>
      <c r="H27" s="98" t="s">
        <v>260</v>
      </c>
      <c r="I27" s="99">
        <v>45801</v>
      </c>
    </row>
    <row r="28" spans="2:9" s="100" customFormat="1" ht="45" x14ac:dyDescent="0.2">
      <c r="B28" s="94" t="s">
        <v>82</v>
      </c>
      <c r="C28" s="95" t="s">
        <v>74</v>
      </c>
      <c r="D28" s="96" t="s">
        <v>71</v>
      </c>
      <c r="E28" s="97">
        <v>5</v>
      </c>
      <c r="F28" s="97">
        <f>269+18</f>
        <v>287</v>
      </c>
      <c r="G28" s="97">
        <f t="shared" si="0"/>
        <v>1435</v>
      </c>
      <c r="H28" s="98" t="s">
        <v>261</v>
      </c>
      <c r="I28" s="99">
        <v>45801</v>
      </c>
    </row>
    <row r="29" spans="2:9" s="100" customFormat="1" ht="45" x14ac:dyDescent="0.2">
      <c r="B29" s="94" t="s">
        <v>82</v>
      </c>
      <c r="C29" s="95" t="s">
        <v>75</v>
      </c>
      <c r="D29" s="96" t="s">
        <v>71</v>
      </c>
      <c r="E29" s="97">
        <v>15</v>
      </c>
      <c r="F29" s="97">
        <f>269+18</f>
        <v>287</v>
      </c>
      <c r="G29" s="97">
        <f t="shared" si="0"/>
        <v>4305</v>
      </c>
      <c r="H29" s="98" t="s">
        <v>262</v>
      </c>
      <c r="I29" s="99">
        <v>45801</v>
      </c>
    </row>
    <row r="30" spans="2:9" s="100" customFormat="1" ht="45" x14ac:dyDescent="0.2">
      <c r="B30" s="94" t="s">
        <v>82</v>
      </c>
      <c r="C30" s="95" t="s">
        <v>248</v>
      </c>
      <c r="D30" s="96" t="s">
        <v>71</v>
      </c>
      <c r="E30" s="97">
        <v>25</v>
      </c>
      <c r="F30" s="97">
        <f>10*1</f>
        <v>10</v>
      </c>
      <c r="G30" s="97">
        <f t="shared" si="0"/>
        <v>250</v>
      </c>
      <c r="H30" s="98" t="s">
        <v>88</v>
      </c>
      <c r="I30" s="99">
        <v>45801</v>
      </c>
    </row>
    <row r="31" spans="2:9" s="152" customFormat="1" ht="45" x14ac:dyDescent="0.2">
      <c r="B31" s="146" t="s">
        <v>82</v>
      </c>
      <c r="C31" s="147" t="s">
        <v>66</v>
      </c>
      <c r="D31" s="148" t="s">
        <v>67</v>
      </c>
      <c r="E31" s="149">
        <v>50</v>
      </c>
      <c r="F31" s="149">
        <f>3*2</f>
        <v>6</v>
      </c>
      <c r="G31" s="149">
        <f>E31*F31</f>
        <v>300</v>
      </c>
      <c r="H31" s="150" t="s">
        <v>258</v>
      </c>
      <c r="I31" s="151">
        <v>45801</v>
      </c>
    </row>
    <row r="32" spans="2:9" s="152" customFormat="1" ht="45" x14ac:dyDescent="0.2">
      <c r="B32" s="146" t="s">
        <v>82</v>
      </c>
      <c r="C32" s="147" t="s">
        <v>83</v>
      </c>
      <c r="D32" s="148" t="s">
        <v>84</v>
      </c>
      <c r="E32" s="149">
        <v>500</v>
      </c>
      <c r="F32" s="149">
        <v>1</v>
      </c>
      <c r="G32" s="149">
        <f>E32*F32</f>
        <v>500</v>
      </c>
      <c r="H32" s="150" t="s">
        <v>85</v>
      </c>
      <c r="I32" s="151">
        <v>45801</v>
      </c>
    </row>
    <row r="33" spans="2:9" s="152" customFormat="1" ht="45" x14ac:dyDescent="0.2">
      <c r="B33" s="146" t="s">
        <v>82</v>
      </c>
      <c r="C33" s="147" t="s">
        <v>73</v>
      </c>
      <c r="D33" s="148" t="s">
        <v>71</v>
      </c>
      <c r="E33" s="149">
        <v>5</v>
      </c>
      <c r="F33" s="149">
        <f>55*3</f>
        <v>165</v>
      </c>
      <c r="G33" s="149">
        <f>E33*F33</f>
        <v>825</v>
      </c>
      <c r="H33" s="150" t="s">
        <v>266</v>
      </c>
      <c r="I33" s="151">
        <v>45801</v>
      </c>
    </row>
    <row r="34" spans="2:9" s="152" customFormat="1" ht="45" x14ac:dyDescent="0.2">
      <c r="B34" s="146" t="s">
        <v>82</v>
      </c>
      <c r="C34" s="147" t="s">
        <v>86</v>
      </c>
      <c r="D34" s="148" t="s">
        <v>87</v>
      </c>
      <c r="E34" s="149">
        <v>10</v>
      </c>
      <c r="F34" s="149">
        <f>55*3</f>
        <v>165</v>
      </c>
      <c r="G34" s="149">
        <f t="shared" ref="G34:G38" si="1">E34*F34</f>
        <v>1650</v>
      </c>
      <c r="H34" s="150" t="s">
        <v>267</v>
      </c>
      <c r="I34" s="151">
        <v>45801</v>
      </c>
    </row>
    <row r="35" spans="2:9" s="152" customFormat="1" ht="45" x14ac:dyDescent="0.2">
      <c r="B35" s="146" t="s">
        <v>82</v>
      </c>
      <c r="C35" s="147" t="s">
        <v>72</v>
      </c>
      <c r="D35" s="148" t="s">
        <v>71</v>
      </c>
      <c r="E35" s="149">
        <v>10</v>
      </c>
      <c r="F35" s="149">
        <f>55*3</f>
        <v>165</v>
      </c>
      <c r="G35" s="149">
        <f t="shared" si="1"/>
        <v>1650</v>
      </c>
      <c r="H35" s="150" t="s">
        <v>264</v>
      </c>
      <c r="I35" s="151">
        <v>45801</v>
      </c>
    </row>
    <row r="36" spans="2:9" s="152" customFormat="1" ht="45" x14ac:dyDescent="0.2">
      <c r="B36" s="146" t="s">
        <v>82</v>
      </c>
      <c r="C36" s="147" t="s">
        <v>74</v>
      </c>
      <c r="D36" s="148" t="s">
        <v>71</v>
      </c>
      <c r="E36" s="149">
        <v>5</v>
      </c>
      <c r="F36" s="149">
        <f>55*3</f>
        <v>165</v>
      </c>
      <c r="G36" s="149">
        <f t="shared" si="1"/>
        <v>825</v>
      </c>
      <c r="H36" s="150" t="s">
        <v>265</v>
      </c>
      <c r="I36" s="151">
        <v>45801</v>
      </c>
    </row>
    <row r="37" spans="2:9" s="152" customFormat="1" ht="45" x14ac:dyDescent="0.2">
      <c r="B37" s="146" t="s">
        <v>82</v>
      </c>
      <c r="C37" s="147" t="s">
        <v>75</v>
      </c>
      <c r="D37" s="148" t="s">
        <v>71</v>
      </c>
      <c r="E37" s="149">
        <v>15</v>
      </c>
      <c r="F37" s="149">
        <f>55*3</f>
        <v>165</v>
      </c>
      <c r="G37" s="149">
        <f t="shared" si="1"/>
        <v>2475</v>
      </c>
      <c r="H37" s="150" t="s">
        <v>263</v>
      </c>
      <c r="I37" s="151">
        <v>45801</v>
      </c>
    </row>
    <row r="38" spans="2:9" s="152" customFormat="1" ht="45" x14ac:dyDescent="0.2">
      <c r="B38" s="146" t="s">
        <v>82</v>
      </c>
      <c r="C38" s="147" t="s">
        <v>248</v>
      </c>
      <c r="D38" s="148" t="s">
        <v>71</v>
      </c>
      <c r="E38" s="149">
        <v>25</v>
      </c>
      <c r="F38" s="149">
        <f>10*1</f>
        <v>10</v>
      </c>
      <c r="G38" s="149">
        <f t="shared" si="1"/>
        <v>250</v>
      </c>
      <c r="H38" s="150" t="s">
        <v>88</v>
      </c>
      <c r="I38" s="151">
        <v>45801</v>
      </c>
    </row>
    <row r="39" spans="2:9" s="108" customFormat="1" ht="45" x14ac:dyDescent="0.2">
      <c r="B39" s="101" t="s">
        <v>89</v>
      </c>
      <c r="C39" s="102" t="s">
        <v>90</v>
      </c>
      <c r="D39" s="103" t="s">
        <v>91</v>
      </c>
      <c r="E39" s="104">
        <v>0.3</v>
      </c>
      <c r="F39" s="105">
        <f>77640</f>
        <v>77640</v>
      </c>
      <c r="G39" s="105">
        <f t="shared" si="0"/>
        <v>23292</v>
      </c>
      <c r="H39" s="106" t="s">
        <v>269</v>
      </c>
      <c r="I39" s="107">
        <v>45801</v>
      </c>
    </row>
    <row r="40" spans="2:9" s="115" customFormat="1" ht="30" x14ac:dyDescent="0.2">
      <c r="B40" s="109" t="s">
        <v>92</v>
      </c>
      <c r="C40" s="110" t="s">
        <v>225</v>
      </c>
      <c r="D40" s="111" t="s">
        <v>81</v>
      </c>
      <c r="E40" s="112">
        <v>1500</v>
      </c>
      <c r="F40" s="112">
        <v>1</v>
      </c>
      <c r="G40" s="112">
        <f t="shared" si="0"/>
        <v>1500</v>
      </c>
      <c r="H40" s="113" t="s">
        <v>227</v>
      </c>
      <c r="I40" s="114" t="s">
        <v>226</v>
      </c>
    </row>
    <row r="41" spans="2:9" s="116" customFormat="1" ht="30" x14ac:dyDescent="0.2">
      <c r="B41" s="117" t="s">
        <v>93</v>
      </c>
      <c r="C41" s="118" t="s">
        <v>94</v>
      </c>
      <c r="D41" s="119" t="s">
        <v>95</v>
      </c>
      <c r="E41" s="120">
        <v>10</v>
      </c>
      <c r="F41" s="120">
        <v>10</v>
      </c>
      <c r="G41" s="120">
        <f t="shared" si="0"/>
        <v>100</v>
      </c>
      <c r="H41" s="121" t="s">
        <v>270</v>
      </c>
      <c r="I41" s="122" t="s">
        <v>47</v>
      </c>
    </row>
    <row r="42" spans="2:9" s="64" customFormat="1" ht="45" x14ac:dyDescent="0.2">
      <c r="B42" s="123" t="s">
        <v>96</v>
      </c>
      <c r="C42" s="124" t="s">
        <v>97</v>
      </c>
      <c r="D42" s="125" t="s">
        <v>98</v>
      </c>
      <c r="E42" s="126">
        <v>1000</v>
      </c>
      <c r="F42" s="126">
        <v>1</v>
      </c>
      <c r="G42" s="126">
        <f t="shared" si="0"/>
        <v>1000</v>
      </c>
      <c r="H42" s="127" t="s">
        <v>99</v>
      </c>
      <c r="I42" s="128" t="s">
        <v>100</v>
      </c>
    </row>
    <row r="43" spans="2:9" s="64" customFormat="1" ht="45" x14ac:dyDescent="0.2">
      <c r="B43" s="123" t="s">
        <v>96</v>
      </c>
      <c r="C43" s="124" t="s">
        <v>101</v>
      </c>
      <c r="D43" s="125" t="s">
        <v>98</v>
      </c>
      <c r="E43" s="126">
        <v>5000</v>
      </c>
      <c r="F43" s="126">
        <v>1</v>
      </c>
      <c r="G43" s="126">
        <f t="shared" si="0"/>
        <v>5000</v>
      </c>
      <c r="H43" s="127" t="s">
        <v>228</v>
      </c>
      <c r="I43" s="128" t="s">
        <v>100</v>
      </c>
    </row>
    <row r="44" spans="2:9" s="129" customFormat="1" ht="30" x14ac:dyDescent="0.2">
      <c r="B44" s="130" t="s">
        <v>102</v>
      </c>
      <c r="C44" s="131" t="s">
        <v>103</v>
      </c>
      <c r="D44" s="132" t="s">
        <v>71</v>
      </c>
      <c r="E44" s="133">
        <v>25</v>
      </c>
      <c r="F44" s="133">
        <f>324*5</f>
        <v>1620</v>
      </c>
      <c r="G44" s="133">
        <f>E44*F44</f>
        <v>40500</v>
      </c>
      <c r="H44" s="134" t="s">
        <v>104</v>
      </c>
      <c r="I44" s="135" t="s">
        <v>105</v>
      </c>
    </row>
    <row r="45" spans="2:9" s="129" customFormat="1" ht="30" x14ac:dyDescent="0.2">
      <c r="B45" s="130" t="s">
        <v>102</v>
      </c>
      <c r="C45" s="131" t="s">
        <v>106</v>
      </c>
      <c r="D45" s="132" t="s">
        <v>71</v>
      </c>
      <c r="E45" s="133">
        <v>100</v>
      </c>
      <c r="F45" s="133">
        <f>18*5</f>
        <v>90</v>
      </c>
      <c r="G45" s="133">
        <f>E45*F45</f>
        <v>9000</v>
      </c>
      <c r="H45" s="134" t="s">
        <v>107</v>
      </c>
      <c r="I45" s="135" t="s">
        <v>105</v>
      </c>
    </row>
    <row r="46" spans="2:9" s="129" customFormat="1" ht="45" x14ac:dyDescent="0.2">
      <c r="B46" s="130" t="s">
        <v>102</v>
      </c>
      <c r="C46" s="131" t="s">
        <v>108</v>
      </c>
      <c r="D46" s="132" t="s">
        <v>71</v>
      </c>
      <c r="E46" s="133">
        <v>25</v>
      </c>
      <c r="F46" s="133">
        <f>SUM(36+25)*5</f>
        <v>305</v>
      </c>
      <c r="G46" s="133">
        <f>E46*F46</f>
        <v>7625</v>
      </c>
      <c r="H46" s="134" t="s">
        <v>109</v>
      </c>
      <c r="I46" s="135" t="s">
        <v>105</v>
      </c>
    </row>
    <row r="47" spans="2:9" s="129" customFormat="1" x14ac:dyDescent="0.2">
      <c r="B47" s="130" t="s">
        <v>13</v>
      </c>
      <c r="C47" s="131" t="s">
        <v>110</v>
      </c>
      <c r="D47" s="132" t="s">
        <v>71</v>
      </c>
      <c r="E47" s="133">
        <v>25</v>
      </c>
      <c r="F47" s="133">
        <f>15*5</f>
        <v>75</v>
      </c>
      <c r="G47" s="133">
        <f>E47*F47</f>
        <v>1875</v>
      </c>
      <c r="H47" s="134" t="s">
        <v>111</v>
      </c>
      <c r="I47" s="135" t="s">
        <v>105</v>
      </c>
    </row>
    <row r="48" spans="2:9" s="129" customFormat="1" ht="30" x14ac:dyDescent="0.2">
      <c r="B48" s="130" t="s">
        <v>102</v>
      </c>
      <c r="C48" s="131" t="s">
        <v>271</v>
      </c>
      <c r="D48" s="132" t="s">
        <v>272</v>
      </c>
      <c r="E48" s="133">
        <v>2</v>
      </c>
      <c r="F48" s="133">
        <f>600*5</f>
        <v>3000</v>
      </c>
      <c r="G48" s="133">
        <f>E48*F48*5</f>
        <v>30000</v>
      </c>
      <c r="H48" s="134" t="s">
        <v>273</v>
      </c>
      <c r="I48" s="135" t="s">
        <v>105</v>
      </c>
    </row>
    <row r="49" spans="2:9" s="129" customFormat="1" ht="30" x14ac:dyDescent="0.2">
      <c r="B49" s="130" t="s">
        <v>13</v>
      </c>
      <c r="C49" s="131" t="s">
        <v>276</v>
      </c>
      <c r="D49" s="132" t="s">
        <v>112</v>
      </c>
      <c r="E49" s="133">
        <v>300</v>
      </c>
      <c r="F49" s="133">
        <f>3*2</f>
        <v>6</v>
      </c>
      <c r="G49" s="133">
        <f>E49*F49</f>
        <v>1800</v>
      </c>
      <c r="H49" s="134" t="s">
        <v>275</v>
      </c>
      <c r="I49" s="135" t="s">
        <v>113</v>
      </c>
    </row>
    <row r="50" spans="2:9" s="129" customFormat="1" ht="45" x14ac:dyDescent="0.2">
      <c r="B50" s="130" t="s">
        <v>13</v>
      </c>
      <c r="C50" s="131" t="s">
        <v>114</v>
      </c>
      <c r="D50" s="132" t="s">
        <v>71</v>
      </c>
      <c r="E50" s="133">
        <v>10</v>
      </c>
      <c r="F50" s="133">
        <f>25*5</f>
        <v>125</v>
      </c>
      <c r="G50" s="133">
        <f>E50+F50</f>
        <v>135</v>
      </c>
      <c r="H50" s="134" t="s">
        <v>115</v>
      </c>
      <c r="I50" s="135" t="s">
        <v>105</v>
      </c>
    </row>
    <row r="51" spans="2:9" s="129" customFormat="1" ht="30" x14ac:dyDescent="0.2">
      <c r="B51" s="130" t="s">
        <v>102</v>
      </c>
      <c r="C51" s="131" t="s">
        <v>116</v>
      </c>
      <c r="D51" s="132" t="s">
        <v>117</v>
      </c>
      <c r="E51" s="133">
        <v>500</v>
      </c>
      <c r="F51" s="133">
        <v>5</v>
      </c>
      <c r="G51" s="133">
        <f>E51*F51</f>
        <v>2500</v>
      </c>
      <c r="H51" s="134" t="s">
        <v>274</v>
      </c>
      <c r="I51" s="135" t="s">
        <v>105</v>
      </c>
    </row>
    <row r="52" spans="2:9" s="129" customFormat="1" ht="44" customHeight="1" x14ac:dyDescent="0.2">
      <c r="B52" s="130" t="s">
        <v>13</v>
      </c>
      <c r="C52" s="131" t="s">
        <v>118</v>
      </c>
      <c r="D52" s="132" t="s">
        <v>71</v>
      </c>
      <c r="E52" s="133">
        <v>200</v>
      </c>
      <c r="F52" s="133">
        <f>3*4</f>
        <v>12</v>
      </c>
      <c r="G52" s="133">
        <f>E52*F52*2</f>
        <v>4800</v>
      </c>
      <c r="H52" s="134" t="s">
        <v>119</v>
      </c>
      <c r="I52" s="135" t="s">
        <v>105</v>
      </c>
    </row>
    <row r="53" spans="2:9" s="129" customFormat="1" ht="30" x14ac:dyDescent="0.2">
      <c r="B53" s="130" t="s">
        <v>102</v>
      </c>
      <c r="C53" s="131" t="s">
        <v>120</v>
      </c>
      <c r="D53" s="132" t="s">
        <v>112</v>
      </c>
      <c r="E53" s="133">
        <v>550</v>
      </c>
      <c r="F53" s="133">
        <f>2*3</f>
        <v>6</v>
      </c>
      <c r="G53" s="133">
        <f t="shared" ref="G53:G64" si="2">E53*F53</f>
        <v>3300</v>
      </c>
      <c r="H53" s="134" t="s">
        <v>277</v>
      </c>
      <c r="I53" s="135" t="s">
        <v>121</v>
      </c>
    </row>
    <row r="54" spans="2:9" s="129" customFormat="1" ht="30" x14ac:dyDescent="0.2">
      <c r="B54" s="130" t="s">
        <v>102</v>
      </c>
      <c r="C54" s="131" t="s">
        <v>122</v>
      </c>
      <c r="D54" s="132" t="s">
        <v>71</v>
      </c>
      <c r="E54" s="133">
        <f>22</f>
        <v>22</v>
      </c>
      <c r="F54" s="133">
        <f>3*3*5</f>
        <v>45</v>
      </c>
      <c r="G54" s="133">
        <f t="shared" si="2"/>
        <v>990</v>
      </c>
      <c r="H54" s="134" t="s">
        <v>278</v>
      </c>
      <c r="I54" s="135" t="s">
        <v>121</v>
      </c>
    </row>
    <row r="55" spans="2:9" s="91" customFormat="1" ht="30.5" customHeight="1" x14ac:dyDescent="0.2">
      <c r="B55" s="85" t="s">
        <v>123</v>
      </c>
      <c r="C55" s="86" t="s">
        <v>124</v>
      </c>
      <c r="D55" s="87" t="s">
        <v>67</v>
      </c>
      <c r="E55" s="88">
        <v>100</v>
      </c>
      <c r="F55" s="88">
        <f>2*3</f>
        <v>6</v>
      </c>
      <c r="G55" s="88">
        <f t="shared" si="2"/>
        <v>600</v>
      </c>
      <c r="H55" s="89" t="s">
        <v>125</v>
      </c>
      <c r="I55" s="136" t="s">
        <v>126</v>
      </c>
    </row>
    <row r="56" spans="2:9" s="91" customFormat="1" ht="30" x14ac:dyDescent="0.2">
      <c r="B56" s="85" t="s">
        <v>123</v>
      </c>
      <c r="C56" s="86" t="s">
        <v>127</v>
      </c>
      <c r="D56" s="87" t="s">
        <v>71</v>
      </c>
      <c r="E56" s="88">
        <v>10</v>
      </c>
      <c r="F56" s="88">
        <f>75*3</f>
        <v>225</v>
      </c>
      <c r="G56" s="88">
        <f t="shared" si="2"/>
        <v>2250</v>
      </c>
      <c r="H56" s="89" t="s">
        <v>128</v>
      </c>
      <c r="I56" s="136" t="s">
        <v>126</v>
      </c>
    </row>
    <row r="57" spans="2:9" s="91" customFormat="1" ht="30" x14ac:dyDescent="0.2">
      <c r="B57" s="85" t="s">
        <v>123</v>
      </c>
      <c r="C57" s="86" t="s">
        <v>229</v>
      </c>
      <c r="D57" s="86" t="s">
        <v>71</v>
      </c>
      <c r="E57" s="86">
        <v>15</v>
      </c>
      <c r="F57" s="86">
        <f>70*3</f>
        <v>210</v>
      </c>
      <c r="G57" s="86">
        <f t="shared" si="2"/>
        <v>3150</v>
      </c>
      <c r="H57" s="86" t="s">
        <v>281</v>
      </c>
      <c r="I57" s="136" t="s">
        <v>126</v>
      </c>
    </row>
    <row r="58" spans="2:9" s="91" customFormat="1" ht="30" x14ac:dyDescent="0.2">
      <c r="B58" s="85" t="s">
        <v>129</v>
      </c>
      <c r="C58" s="86" t="s">
        <v>130</v>
      </c>
      <c r="D58" s="87" t="s">
        <v>131</v>
      </c>
      <c r="E58" s="88">
        <v>250</v>
      </c>
      <c r="F58" s="88">
        <f>2*3*4</f>
        <v>24</v>
      </c>
      <c r="G58" s="88">
        <f t="shared" si="2"/>
        <v>6000</v>
      </c>
      <c r="H58" s="89" t="s">
        <v>230</v>
      </c>
      <c r="I58" s="136" t="s">
        <v>132</v>
      </c>
    </row>
    <row r="59" spans="2:9" s="91" customFormat="1" ht="30" x14ac:dyDescent="0.2">
      <c r="B59" s="85" t="s">
        <v>129</v>
      </c>
      <c r="C59" s="86" t="s">
        <v>133</v>
      </c>
      <c r="D59" s="87" t="s">
        <v>71</v>
      </c>
      <c r="E59" s="88">
        <v>25</v>
      </c>
      <c r="F59" s="88">
        <f>41*3*4</f>
        <v>492</v>
      </c>
      <c r="G59" s="88">
        <f t="shared" si="2"/>
        <v>12300</v>
      </c>
      <c r="H59" s="89" t="s">
        <v>134</v>
      </c>
      <c r="I59" s="136" t="s">
        <v>135</v>
      </c>
    </row>
    <row r="60" spans="2:9" s="91" customFormat="1" ht="30" x14ac:dyDescent="0.2">
      <c r="B60" s="85" t="s">
        <v>136</v>
      </c>
      <c r="C60" s="86" t="s">
        <v>279</v>
      </c>
      <c r="D60" s="87" t="s">
        <v>137</v>
      </c>
      <c r="E60" s="88">
        <v>25</v>
      </c>
      <c r="F60" s="88">
        <f>2*3</f>
        <v>6</v>
      </c>
      <c r="G60" s="88">
        <f t="shared" si="2"/>
        <v>150</v>
      </c>
      <c r="H60" s="89" t="s">
        <v>138</v>
      </c>
      <c r="I60" s="136" t="s">
        <v>139</v>
      </c>
    </row>
    <row r="61" spans="2:9" s="91" customFormat="1" ht="30" x14ac:dyDescent="0.2">
      <c r="B61" s="85" t="s">
        <v>136</v>
      </c>
      <c r="C61" s="86" t="s">
        <v>140</v>
      </c>
      <c r="D61" s="87" t="s">
        <v>98</v>
      </c>
      <c r="E61" s="88">
        <v>25</v>
      </c>
      <c r="F61" s="88">
        <f>41*3</f>
        <v>123</v>
      </c>
      <c r="G61" s="88">
        <f t="shared" si="2"/>
        <v>3075</v>
      </c>
      <c r="H61" s="89" t="s">
        <v>141</v>
      </c>
      <c r="I61" s="93">
        <v>45468</v>
      </c>
    </row>
    <row r="62" spans="2:9" s="91" customFormat="1" ht="30" x14ac:dyDescent="0.2">
      <c r="B62" s="85" t="s">
        <v>136</v>
      </c>
      <c r="C62" s="86" t="s">
        <v>66</v>
      </c>
      <c r="D62" s="87" t="s">
        <v>62</v>
      </c>
      <c r="E62" s="88">
        <v>100</v>
      </c>
      <c r="F62" s="88">
        <v>2</v>
      </c>
      <c r="G62" s="88">
        <f>E62*F62</f>
        <v>200</v>
      </c>
      <c r="H62" s="89" t="s">
        <v>68</v>
      </c>
      <c r="I62" s="93">
        <v>45828</v>
      </c>
    </row>
    <row r="63" spans="2:9" s="91" customFormat="1" ht="30" x14ac:dyDescent="0.2">
      <c r="B63" s="85" t="s">
        <v>136</v>
      </c>
      <c r="C63" s="86" t="s">
        <v>280</v>
      </c>
      <c r="D63" s="87" t="s">
        <v>137</v>
      </c>
      <c r="E63" s="88">
        <v>25</v>
      </c>
      <c r="F63" s="88">
        <f>6*3</f>
        <v>18</v>
      </c>
      <c r="G63" s="88">
        <f t="shared" si="2"/>
        <v>450</v>
      </c>
      <c r="H63" s="89" t="s">
        <v>142</v>
      </c>
      <c r="I63" s="136" t="s">
        <v>135</v>
      </c>
    </row>
    <row r="64" spans="2:9" s="91" customFormat="1" x14ac:dyDescent="0.2">
      <c r="B64" s="85" t="s">
        <v>143</v>
      </c>
      <c r="C64" s="86" t="s">
        <v>231</v>
      </c>
      <c r="D64" s="87" t="s">
        <v>98</v>
      </c>
      <c r="E64" s="88">
        <v>30000</v>
      </c>
      <c r="F64" s="88">
        <v>1</v>
      </c>
      <c r="G64" s="88">
        <f t="shared" si="2"/>
        <v>30000</v>
      </c>
      <c r="H64" s="89" t="s">
        <v>144</v>
      </c>
      <c r="I64" s="93">
        <v>45985</v>
      </c>
    </row>
    <row r="65" spans="2:10" s="62" customFormat="1" ht="30" x14ac:dyDescent="0.2">
      <c r="B65" s="57" t="s">
        <v>145</v>
      </c>
      <c r="C65" s="58" t="s">
        <v>146</v>
      </c>
      <c r="D65" s="59" t="s">
        <v>147</v>
      </c>
      <c r="E65" s="60">
        <v>11568.37344666667</v>
      </c>
      <c r="F65" s="60">
        <f>12*0.25</f>
        <v>3</v>
      </c>
      <c r="G65" s="60">
        <f>E65*F65</f>
        <v>34705.120340000009</v>
      </c>
      <c r="H65" s="61" t="s">
        <v>284</v>
      </c>
      <c r="I65" s="63" t="s">
        <v>213</v>
      </c>
      <c r="J65" s="65" t="s">
        <v>148</v>
      </c>
    </row>
    <row r="66" spans="2:10" s="62" customFormat="1" ht="30" x14ac:dyDescent="0.2">
      <c r="B66" s="57" t="s">
        <v>145</v>
      </c>
      <c r="C66" s="58" t="s">
        <v>149</v>
      </c>
      <c r="D66" s="59" t="s">
        <v>147</v>
      </c>
      <c r="E66" s="60">
        <v>8544.6716133333339</v>
      </c>
      <c r="F66" s="60">
        <f>12*0.25</f>
        <v>3</v>
      </c>
      <c r="G66" s="60">
        <f t="shared" ref="G66:G98" si="3">E66*F66</f>
        <v>25634.014840000003</v>
      </c>
      <c r="H66" s="61" t="s">
        <v>285</v>
      </c>
      <c r="I66" s="63" t="s">
        <v>213</v>
      </c>
      <c r="J66" s="65" t="s">
        <v>150</v>
      </c>
    </row>
    <row r="67" spans="2:10" s="62" customFormat="1" ht="45" x14ac:dyDescent="0.2">
      <c r="B67" s="57" t="s">
        <v>145</v>
      </c>
      <c r="C67" s="58" t="s">
        <v>151</v>
      </c>
      <c r="D67" s="59" t="s">
        <v>147</v>
      </c>
      <c r="E67" s="60">
        <v>8378.0049466666678</v>
      </c>
      <c r="F67" s="60">
        <f>12*0.25</f>
        <v>3</v>
      </c>
      <c r="G67" s="60">
        <f t="shared" si="3"/>
        <v>25134.014840000003</v>
      </c>
      <c r="H67" s="61" t="s">
        <v>286</v>
      </c>
      <c r="I67" s="63" t="s">
        <v>213</v>
      </c>
      <c r="J67" s="65" t="s">
        <v>152</v>
      </c>
    </row>
    <row r="68" spans="2:10" s="62" customFormat="1" ht="45" x14ac:dyDescent="0.2">
      <c r="B68" s="57" t="s">
        <v>145</v>
      </c>
      <c r="C68" s="58" t="s">
        <v>153</v>
      </c>
      <c r="D68" s="59" t="s">
        <v>147</v>
      </c>
      <c r="E68" s="60">
        <v>8544.6716133333339</v>
      </c>
      <c r="F68" s="60">
        <f>12*0.3</f>
        <v>3.5999999999999996</v>
      </c>
      <c r="G68" s="60">
        <f t="shared" si="3"/>
        <v>30760.817808</v>
      </c>
      <c r="H68" s="61" t="s">
        <v>287</v>
      </c>
      <c r="I68" s="63" t="s">
        <v>213</v>
      </c>
      <c r="J68" s="65" t="s">
        <v>154</v>
      </c>
    </row>
    <row r="69" spans="2:10" s="46" customFormat="1" ht="45" x14ac:dyDescent="0.2">
      <c r="B69" s="137" t="s">
        <v>145</v>
      </c>
      <c r="C69" s="138" t="s">
        <v>155</v>
      </c>
      <c r="D69" s="139" t="s">
        <v>147</v>
      </c>
      <c r="E69" s="140">
        <v>4974.1217222222231</v>
      </c>
      <c r="F69" s="140">
        <f>12*0.3</f>
        <v>3.5999999999999996</v>
      </c>
      <c r="G69" s="140">
        <f t="shared" si="3"/>
        <v>17906.838200000002</v>
      </c>
      <c r="H69" s="141" t="s">
        <v>288</v>
      </c>
      <c r="I69" s="142" t="s">
        <v>213</v>
      </c>
      <c r="J69" s="143" t="s">
        <v>156</v>
      </c>
    </row>
    <row r="70" spans="2:10" s="62" customFormat="1" ht="30" x14ac:dyDescent="0.2">
      <c r="B70" s="57" t="s">
        <v>145</v>
      </c>
      <c r="C70" s="58" t="s">
        <v>157</v>
      </c>
      <c r="D70" s="59" t="s">
        <v>147</v>
      </c>
      <c r="E70" s="60">
        <v>4271.5081950479089</v>
      </c>
      <c r="F70" s="60">
        <v>12</v>
      </c>
      <c r="G70" s="60">
        <f t="shared" si="3"/>
        <v>51258.098340574907</v>
      </c>
      <c r="H70" s="61" t="s">
        <v>158</v>
      </c>
      <c r="I70" s="63" t="s">
        <v>213</v>
      </c>
      <c r="J70" s="65" t="s">
        <v>159</v>
      </c>
    </row>
    <row r="71" spans="2:10" s="46" customFormat="1" ht="30" x14ac:dyDescent="0.2">
      <c r="B71" s="137" t="s">
        <v>145</v>
      </c>
      <c r="C71" s="138" t="s">
        <v>160</v>
      </c>
      <c r="D71" s="139" t="s">
        <v>147</v>
      </c>
      <c r="E71" s="140">
        <v>3961.960861714575</v>
      </c>
      <c r="F71" s="140">
        <v>12</v>
      </c>
      <c r="G71" s="140">
        <f t="shared" si="3"/>
        <v>47543.5303405749</v>
      </c>
      <c r="H71" s="141" t="s">
        <v>249</v>
      </c>
      <c r="I71" s="142" t="s">
        <v>213</v>
      </c>
      <c r="J71" s="143" t="s">
        <v>159</v>
      </c>
    </row>
    <row r="72" spans="2:10" s="62" customFormat="1" ht="30" x14ac:dyDescent="0.2">
      <c r="B72" s="57" t="s">
        <v>145</v>
      </c>
      <c r="C72" s="58" t="s">
        <v>161</v>
      </c>
      <c r="D72" s="59" t="s">
        <v>147</v>
      </c>
      <c r="E72" s="60">
        <f>2288.67686171457*1</f>
        <v>2288.6768617145699</v>
      </c>
      <c r="F72" s="60">
        <v>12</v>
      </c>
      <c r="G72" s="60">
        <f t="shared" si="3"/>
        <v>27464.122340574839</v>
      </c>
      <c r="H72" s="61" t="s">
        <v>250</v>
      </c>
      <c r="I72" s="63" t="s">
        <v>213</v>
      </c>
      <c r="J72" s="65" t="s">
        <v>163</v>
      </c>
    </row>
    <row r="73" spans="2:10" s="62" customFormat="1" ht="30" x14ac:dyDescent="0.2">
      <c r="B73" s="57" t="s">
        <v>145</v>
      </c>
      <c r="C73" s="58" t="s">
        <v>164</v>
      </c>
      <c r="D73" s="59" t="s">
        <v>147</v>
      </c>
      <c r="E73" s="60">
        <v>1670.9828617145752</v>
      </c>
      <c r="F73" s="60">
        <v>12</v>
      </c>
      <c r="G73" s="60">
        <f t="shared" si="3"/>
        <v>20051.794340574903</v>
      </c>
      <c r="H73" s="61" t="s">
        <v>165</v>
      </c>
      <c r="I73" s="63" t="s">
        <v>213</v>
      </c>
      <c r="J73" s="65" t="s">
        <v>166</v>
      </c>
    </row>
    <row r="74" spans="2:10" s="62" customFormat="1" ht="30" x14ac:dyDescent="0.2">
      <c r="B74" s="57" t="s">
        <v>145</v>
      </c>
      <c r="C74" s="58" t="s">
        <v>167</v>
      </c>
      <c r="D74" s="59" t="s">
        <v>147</v>
      </c>
      <c r="E74" s="60">
        <f>2288.67686171457*2</f>
        <v>4577.3537234291398</v>
      </c>
      <c r="F74" s="60">
        <v>12</v>
      </c>
      <c r="G74" s="60">
        <f t="shared" si="3"/>
        <v>54928.244681149677</v>
      </c>
      <c r="H74" s="61" t="s">
        <v>162</v>
      </c>
      <c r="I74" s="63" t="s">
        <v>213</v>
      </c>
      <c r="J74" s="65" t="s">
        <v>168</v>
      </c>
    </row>
    <row r="75" spans="2:10" s="62" customFormat="1" ht="30" x14ac:dyDescent="0.2">
      <c r="B75" s="57" t="s">
        <v>145</v>
      </c>
      <c r="C75" s="58" t="s">
        <v>169</v>
      </c>
      <c r="D75" s="59" t="s">
        <v>147</v>
      </c>
      <c r="E75" s="60">
        <v>1670.9828617145752</v>
      </c>
      <c r="F75" s="60">
        <v>12</v>
      </c>
      <c r="G75" s="60">
        <f t="shared" si="3"/>
        <v>20051.794340574903</v>
      </c>
      <c r="H75" s="61" t="s">
        <v>165</v>
      </c>
      <c r="I75" s="63" t="s">
        <v>213</v>
      </c>
      <c r="J75" s="65" t="s">
        <v>170</v>
      </c>
    </row>
    <row r="76" spans="2:10" s="62" customFormat="1" ht="30" x14ac:dyDescent="0.2">
      <c r="B76" s="57" t="s">
        <v>145</v>
      </c>
      <c r="C76" s="58" t="s">
        <v>171</v>
      </c>
      <c r="D76" s="59" t="s">
        <v>147</v>
      </c>
      <c r="E76" s="60">
        <f>990.40537874332*2</f>
        <v>1980.8107574866399</v>
      </c>
      <c r="F76" s="60">
        <v>12</v>
      </c>
      <c r="G76" s="60">
        <f t="shared" si="3"/>
        <v>23769.729089839679</v>
      </c>
      <c r="H76" s="61" t="s">
        <v>172</v>
      </c>
      <c r="I76" s="63" t="s">
        <v>213</v>
      </c>
      <c r="J76" s="65" t="s">
        <v>173</v>
      </c>
    </row>
    <row r="77" spans="2:10" s="62" customFormat="1" ht="45" x14ac:dyDescent="0.2">
      <c r="B77" s="57" t="s">
        <v>145</v>
      </c>
      <c r="C77" s="58" t="s">
        <v>174</v>
      </c>
      <c r="D77" s="59" t="s">
        <v>147</v>
      </c>
      <c r="E77" s="60">
        <v>3772.7253787433201</v>
      </c>
      <c r="F77" s="60">
        <f>12*0.3</f>
        <v>3.5999999999999996</v>
      </c>
      <c r="G77" s="60">
        <f t="shared" si="3"/>
        <v>13581.81136347595</v>
      </c>
      <c r="H77" s="61" t="s">
        <v>175</v>
      </c>
      <c r="I77" s="63" t="s">
        <v>213</v>
      </c>
      <c r="J77" s="65" t="s">
        <v>176</v>
      </c>
    </row>
    <row r="78" spans="2:10" s="62" customFormat="1" ht="30" x14ac:dyDescent="0.2">
      <c r="B78" s="57" t="s">
        <v>145</v>
      </c>
      <c r="C78" s="58" t="s">
        <v>242</v>
      </c>
      <c r="D78" s="59" t="s">
        <v>147</v>
      </c>
      <c r="E78" s="60">
        <v>3753.7741950479081</v>
      </c>
      <c r="F78" s="60">
        <f>12*0.3</f>
        <v>3.5999999999999996</v>
      </c>
      <c r="G78" s="60">
        <f t="shared" si="3"/>
        <v>13513.587102172467</v>
      </c>
      <c r="H78" s="61" t="s">
        <v>177</v>
      </c>
      <c r="I78" s="63" t="s">
        <v>213</v>
      </c>
      <c r="J78" s="65" t="s">
        <v>178</v>
      </c>
    </row>
    <row r="79" spans="2:10" s="62" customFormat="1" ht="30" x14ac:dyDescent="0.2">
      <c r="B79" s="57" t="s">
        <v>145</v>
      </c>
      <c r="C79" s="58" t="s">
        <v>179</v>
      </c>
      <c r="D79" s="59" t="s">
        <v>147</v>
      </c>
      <c r="E79" s="60">
        <v>1872.6788617145751</v>
      </c>
      <c r="F79" s="60">
        <v>6</v>
      </c>
      <c r="G79" s="60">
        <f t="shared" si="3"/>
        <v>11236.073170287451</v>
      </c>
      <c r="H79" s="61" t="s">
        <v>283</v>
      </c>
      <c r="I79" s="63" t="s">
        <v>213</v>
      </c>
      <c r="J79" s="65" t="s">
        <v>180</v>
      </c>
    </row>
    <row r="80" spans="2:10" s="62" customFormat="1" ht="30" x14ac:dyDescent="0.2">
      <c r="B80" s="57" t="s">
        <v>145</v>
      </c>
      <c r="C80" s="58" t="s">
        <v>241</v>
      </c>
      <c r="D80" s="59" t="s">
        <v>147</v>
      </c>
      <c r="E80" s="60">
        <v>3157.832712076653</v>
      </c>
      <c r="F80" s="60">
        <f>12*0.3</f>
        <v>3.5999999999999996</v>
      </c>
      <c r="G80" s="60">
        <f t="shared" si="3"/>
        <v>11368.19776347595</v>
      </c>
      <c r="H80" s="61" t="s">
        <v>181</v>
      </c>
      <c r="I80" s="63" t="s">
        <v>213</v>
      </c>
      <c r="J80" s="65" t="s">
        <v>182</v>
      </c>
    </row>
    <row r="81" spans="2:10" s="46" customFormat="1" ht="30" x14ac:dyDescent="0.2">
      <c r="B81" s="137" t="s">
        <v>145</v>
      </c>
      <c r="C81" s="138" t="s">
        <v>244</v>
      </c>
      <c r="D81" s="139" t="s">
        <v>147</v>
      </c>
      <c r="E81" s="140">
        <v>1457.4233787433197</v>
      </c>
      <c r="F81" s="140">
        <v>12</v>
      </c>
      <c r="G81" s="140">
        <f t="shared" si="3"/>
        <v>17489.080544919838</v>
      </c>
      <c r="H81" s="141" t="s">
        <v>251</v>
      </c>
      <c r="I81" s="142" t="s">
        <v>213</v>
      </c>
      <c r="J81" s="143" t="s">
        <v>183</v>
      </c>
    </row>
    <row r="82" spans="2:10" s="62" customFormat="1" ht="30" x14ac:dyDescent="0.2">
      <c r="B82" s="57" t="s">
        <v>145</v>
      </c>
      <c r="C82" s="58" t="s">
        <v>243</v>
      </c>
      <c r="D82" s="59" t="s">
        <v>147</v>
      </c>
      <c r="E82" s="60">
        <v>1688.5333787433201</v>
      </c>
      <c r="F82" s="60">
        <f>12*0.3</f>
        <v>3.5999999999999996</v>
      </c>
      <c r="G82" s="60">
        <f t="shared" si="3"/>
        <v>6078.7201634759522</v>
      </c>
      <c r="H82" s="61" t="s">
        <v>184</v>
      </c>
      <c r="I82" s="63" t="s">
        <v>213</v>
      </c>
      <c r="J82" s="65" t="s">
        <v>185</v>
      </c>
    </row>
    <row r="83" spans="2:10" s="62" customFormat="1" ht="30" x14ac:dyDescent="0.2">
      <c r="B83" s="57" t="s">
        <v>145</v>
      </c>
      <c r="C83" s="58" t="s">
        <v>186</v>
      </c>
      <c r="D83" s="59" t="s">
        <v>147</v>
      </c>
      <c r="E83" s="60">
        <f>990.40537874332*3</f>
        <v>2971.2161362299598</v>
      </c>
      <c r="F83" s="60">
        <f>12*0.3</f>
        <v>3.5999999999999996</v>
      </c>
      <c r="G83" s="60">
        <f t="shared" si="3"/>
        <v>10696.378090427854</v>
      </c>
      <c r="H83" s="61" t="s">
        <v>187</v>
      </c>
      <c r="I83" s="63" t="s">
        <v>213</v>
      </c>
      <c r="J83" s="65" t="s">
        <v>188</v>
      </c>
    </row>
    <row r="84" spans="2:10" s="62" customFormat="1" ht="30" x14ac:dyDescent="0.2">
      <c r="B84" s="57" t="s">
        <v>145</v>
      </c>
      <c r="C84" s="58" t="s">
        <v>189</v>
      </c>
      <c r="D84" s="59" t="s">
        <v>147</v>
      </c>
      <c r="E84" s="60">
        <f>852.746045409986*2</f>
        <v>1705.492090819972</v>
      </c>
      <c r="F84" s="60">
        <f>12*0.3</f>
        <v>3.5999999999999996</v>
      </c>
      <c r="G84" s="60">
        <f>E84*F84</f>
        <v>6139.7715269518985</v>
      </c>
      <c r="H84" s="61" t="s">
        <v>190</v>
      </c>
      <c r="I84" s="63" t="s">
        <v>213</v>
      </c>
      <c r="J84" s="65" t="s">
        <v>191</v>
      </c>
    </row>
    <row r="85" spans="2:10" s="62" customFormat="1" ht="30" x14ac:dyDescent="0.2">
      <c r="B85" s="57" t="s">
        <v>145</v>
      </c>
      <c r="C85" s="58" t="s">
        <v>192</v>
      </c>
      <c r="D85" s="59" t="s">
        <v>147</v>
      </c>
      <c r="E85" s="60">
        <v>1457.4233787433197</v>
      </c>
      <c r="F85" s="60">
        <f>12</f>
        <v>12</v>
      </c>
      <c r="G85" s="60">
        <f>E85*F85</f>
        <v>17489.080544919838</v>
      </c>
      <c r="H85" s="61" t="s">
        <v>193</v>
      </c>
      <c r="I85" s="63" t="s">
        <v>213</v>
      </c>
      <c r="J85" s="65" t="s">
        <v>194</v>
      </c>
    </row>
    <row r="86" spans="2:10" ht="30" x14ac:dyDescent="0.2">
      <c r="B86" s="66" t="s">
        <v>195</v>
      </c>
      <c r="C86" s="67" t="s">
        <v>196</v>
      </c>
      <c r="D86" s="68" t="s">
        <v>147</v>
      </c>
      <c r="E86" s="69">
        <v>2</v>
      </c>
      <c r="F86" s="70">
        <v>15000</v>
      </c>
      <c r="G86" s="70">
        <f>E86*F86</f>
        <v>30000</v>
      </c>
      <c r="H86" s="71" t="s">
        <v>282</v>
      </c>
      <c r="I86" s="72" t="s">
        <v>214</v>
      </c>
      <c r="J86" s="72"/>
    </row>
    <row r="87" spans="2:10" ht="30" x14ac:dyDescent="0.2">
      <c r="B87" s="66" t="s">
        <v>195</v>
      </c>
      <c r="C87" s="67" t="s">
        <v>197</v>
      </c>
      <c r="D87" s="68" t="s">
        <v>98</v>
      </c>
      <c r="E87" s="70">
        <v>7027.5</v>
      </c>
      <c r="F87" s="70">
        <v>1</v>
      </c>
      <c r="G87" s="70">
        <f t="shared" si="3"/>
        <v>7027.5</v>
      </c>
      <c r="H87" s="71" t="s">
        <v>198</v>
      </c>
      <c r="I87" s="72" t="s">
        <v>213</v>
      </c>
      <c r="J87" s="72" t="s">
        <v>199</v>
      </c>
    </row>
    <row r="88" spans="2:10" x14ac:dyDescent="0.2">
      <c r="B88" s="66" t="s">
        <v>195</v>
      </c>
      <c r="C88" s="67" t="s">
        <v>200</v>
      </c>
      <c r="D88" s="68" t="s">
        <v>98</v>
      </c>
      <c r="E88" s="70">
        <v>4050</v>
      </c>
      <c r="F88" s="70">
        <v>1</v>
      </c>
      <c r="G88" s="70">
        <f t="shared" si="3"/>
        <v>4050</v>
      </c>
      <c r="H88" s="71" t="s">
        <v>201</v>
      </c>
      <c r="I88" s="72" t="s">
        <v>213</v>
      </c>
      <c r="J88" s="72"/>
    </row>
    <row r="89" spans="2:10" x14ac:dyDescent="0.2">
      <c r="B89" s="66" t="s">
        <v>195</v>
      </c>
      <c r="C89" s="67" t="s">
        <v>218</v>
      </c>
      <c r="D89" s="68" t="s">
        <v>98</v>
      </c>
      <c r="E89" s="70">
        <v>800</v>
      </c>
      <c r="F89" s="70">
        <f>12*0.5</f>
        <v>6</v>
      </c>
      <c r="G89" s="70">
        <f t="shared" ref="G89" si="4">E89*F89</f>
        <v>4800</v>
      </c>
      <c r="H89" s="71" t="s">
        <v>221</v>
      </c>
      <c r="I89" s="72" t="s">
        <v>213</v>
      </c>
      <c r="J89" s="72"/>
    </row>
    <row r="90" spans="2:10" x14ac:dyDescent="0.2">
      <c r="B90" s="66" t="s">
        <v>195</v>
      </c>
      <c r="C90" s="67" t="s">
        <v>219</v>
      </c>
      <c r="D90" s="68" t="s">
        <v>98</v>
      </c>
      <c r="E90" s="70">
        <v>120</v>
      </c>
      <c r="F90" s="70">
        <f>6*12</f>
        <v>72</v>
      </c>
      <c r="G90" s="70">
        <f t="shared" ref="G90" si="5">E90*F90</f>
        <v>8640</v>
      </c>
      <c r="H90" s="71" t="s">
        <v>220</v>
      </c>
      <c r="I90" s="72" t="s">
        <v>213</v>
      </c>
      <c r="J90" s="72"/>
    </row>
    <row r="91" spans="2:10" ht="30" x14ac:dyDescent="0.2">
      <c r="B91" s="66" t="s">
        <v>202</v>
      </c>
      <c r="C91" s="73" t="s">
        <v>203</v>
      </c>
      <c r="D91" s="68" t="s">
        <v>98</v>
      </c>
      <c r="E91" s="70">
        <f>SUM(G44:G47)*2</f>
        <v>118000</v>
      </c>
      <c r="F91" s="70">
        <f>1*5.5%</f>
        <v>5.5E-2</v>
      </c>
      <c r="G91" s="70">
        <f t="shared" si="3"/>
        <v>6490</v>
      </c>
      <c r="H91" s="71" t="s">
        <v>204</v>
      </c>
      <c r="I91" s="72" t="s">
        <v>213</v>
      </c>
      <c r="J91" s="72"/>
    </row>
    <row r="92" spans="2:10" x14ac:dyDescent="0.2">
      <c r="B92" s="66" t="s">
        <v>195</v>
      </c>
      <c r="C92" s="67" t="s">
        <v>205</v>
      </c>
      <c r="D92" s="68" t="s">
        <v>147</v>
      </c>
      <c r="E92" s="70">
        <f>2100</f>
        <v>2100</v>
      </c>
      <c r="F92" s="70">
        <f t="shared" ref="F92:F101" si="6">12*0.4</f>
        <v>4.8000000000000007</v>
      </c>
      <c r="G92" s="70">
        <f>E92*F92</f>
        <v>10080.000000000002</v>
      </c>
      <c r="H92" s="74" t="s">
        <v>232</v>
      </c>
      <c r="I92" s="72" t="s">
        <v>213</v>
      </c>
      <c r="J92" s="72"/>
    </row>
    <row r="93" spans="2:10" x14ac:dyDescent="0.2">
      <c r="B93" s="66" t="s">
        <v>195</v>
      </c>
      <c r="C93" s="67" t="s">
        <v>206</v>
      </c>
      <c r="D93" s="68" t="s">
        <v>147</v>
      </c>
      <c r="E93" s="70">
        <f>2280</f>
        <v>2280</v>
      </c>
      <c r="F93" s="70">
        <f t="shared" si="6"/>
        <v>4.8000000000000007</v>
      </c>
      <c r="G93" s="70">
        <f t="shared" si="3"/>
        <v>10944.000000000002</v>
      </c>
      <c r="H93" s="74" t="s">
        <v>233</v>
      </c>
      <c r="I93" s="72" t="s">
        <v>213</v>
      </c>
      <c r="J93" s="72"/>
    </row>
    <row r="94" spans="2:10" ht="13.75" customHeight="1" x14ac:dyDescent="0.2">
      <c r="B94" s="66" t="s">
        <v>195</v>
      </c>
      <c r="C94" s="67" t="s">
        <v>207</v>
      </c>
      <c r="D94" s="68" t="s">
        <v>147</v>
      </c>
      <c r="E94" s="70">
        <v>5500</v>
      </c>
      <c r="F94" s="70">
        <f t="shared" si="6"/>
        <v>4.8000000000000007</v>
      </c>
      <c r="G94" s="70">
        <f t="shared" si="3"/>
        <v>26400.000000000004</v>
      </c>
      <c r="H94" s="71" t="s">
        <v>234</v>
      </c>
      <c r="I94" s="72" t="s">
        <v>213</v>
      </c>
      <c r="J94" s="72"/>
    </row>
    <row r="95" spans="2:10" ht="13.75" customHeight="1" x14ac:dyDescent="0.2">
      <c r="B95" s="66" t="s">
        <v>208</v>
      </c>
      <c r="C95" s="67" t="s">
        <v>209</v>
      </c>
      <c r="D95" s="68" t="s">
        <v>147</v>
      </c>
      <c r="E95" s="70">
        <v>3036</v>
      </c>
      <c r="F95" s="70">
        <f t="shared" si="6"/>
        <v>4.8000000000000007</v>
      </c>
      <c r="G95" s="70">
        <f t="shared" si="3"/>
        <v>14572.800000000003</v>
      </c>
      <c r="H95" s="71" t="s">
        <v>235</v>
      </c>
      <c r="I95" s="72" t="s">
        <v>213</v>
      </c>
      <c r="J95" s="72"/>
    </row>
    <row r="96" spans="2:10" ht="13.75" customHeight="1" x14ac:dyDescent="0.2">
      <c r="B96" s="66" t="s">
        <v>208</v>
      </c>
      <c r="C96" s="67" t="s">
        <v>210</v>
      </c>
      <c r="D96" s="68" t="s">
        <v>147</v>
      </c>
      <c r="E96" s="70">
        <v>2139</v>
      </c>
      <c r="F96" s="70">
        <f t="shared" si="6"/>
        <v>4.8000000000000007</v>
      </c>
      <c r="G96" s="70">
        <f t="shared" si="3"/>
        <v>10267.200000000001</v>
      </c>
      <c r="H96" s="71" t="s">
        <v>236</v>
      </c>
      <c r="I96" s="72" t="s">
        <v>213</v>
      </c>
      <c r="J96" s="72"/>
    </row>
    <row r="97" spans="2:10" ht="13.75" customHeight="1" x14ac:dyDescent="0.2">
      <c r="B97" s="66" t="s">
        <v>208</v>
      </c>
      <c r="C97" s="67" t="s">
        <v>211</v>
      </c>
      <c r="D97" s="68" t="s">
        <v>147</v>
      </c>
      <c r="E97" s="70">
        <v>6300</v>
      </c>
      <c r="F97" s="70">
        <f t="shared" si="6"/>
        <v>4.8000000000000007</v>
      </c>
      <c r="G97" s="70">
        <f t="shared" si="3"/>
        <v>30240.000000000004</v>
      </c>
      <c r="H97" s="71" t="s">
        <v>237</v>
      </c>
      <c r="I97" s="72" t="s">
        <v>213</v>
      </c>
      <c r="J97" s="72"/>
    </row>
    <row r="98" spans="2:10" ht="13.75" customHeight="1" x14ac:dyDescent="0.2">
      <c r="B98" s="66" t="s">
        <v>208</v>
      </c>
      <c r="C98" s="67" t="s">
        <v>212</v>
      </c>
      <c r="D98" s="68" t="s">
        <v>147</v>
      </c>
      <c r="E98" s="70">
        <v>2056</v>
      </c>
      <c r="F98" s="70">
        <f t="shared" si="6"/>
        <v>4.8000000000000007</v>
      </c>
      <c r="G98" s="70">
        <f t="shared" si="3"/>
        <v>9868.8000000000011</v>
      </c>
      <c r="H98" s="71" t="s">
        <v>238</v>
      </c>
      <c r="I98" s="72" t="s">
        <v>213</v>
      </c>
      <c r="J98" s="72"/>
    </row>
    <row r="99" spans="2:10" ht="13.75" customHeight="1" x14ac:dyDescent="0.2">
      <c r="B99" s="66" t="s">
        <v>208</v>
      </c>
      <c r="C99" s="67" t="s">
        <v>217</v>
      </c>
      <c r="D99" s="68" t="s">
        <v>147</v>
      </c>
      <c r="E99" s="70">
        <v>1500</v>
      </c>
      <c r="F99" s="70">
        <f t="shared" si="6"/>
        <v>4.8000000000000007</v>
      </c>
      <c r="G99" s="70">
        <f t="shared" ref="G99" si="7">E99*F99</f>
        <v>7200.0000000000009</v>
      </c>
      <c r="H99" s="71" t="s">
        <v>238</v>
      </c>
      <c r="I99" s="72" t="s">
        <v>213</v>
      </c>
      <c r="J99" s="72"/>
    </row>
    <row r="100" spans="2:10" ht="13.75" customHeight="1" x14ac:dyDescent="0.2">
      <c r="B100" s="66" t="s">
        <v>208</v>
      </c>
      <c r="C100" s="67" t="s">
        <v>215</v>
      </c>
      <c r="D100" s="68" t="s">
        <v>147</v>
      </c>
      <c r="E100" s="70">
        <v>2000</v>
      </c>
      <c r="F100" s="70">
        <f t="shared" si="6"/>
        <v>4.8000000000000007</v>
      </c>
      <c r="G100" s="70">
        <f t="shared" ref="G100" si="8">E100*F100</f>
        <v>9600.0000000000018</v>
      </c>
      <c r="H100" s="71"/>
      <c r="I100" s="72" t="s">
        <v>213</v>
      </c>
      <c r="J100" s="72"/>
    </row>
    <row r="101" spans="2:10" ht="13.75" customHeight="1" x14ac:dyDescent="0.2">
      <c r="B101" s="66" t="s">
        <v>208</v>
      </c>
      <c r="C101" s="67" t="s">
        <v>216</v>
      </c>
      <c r="D101" s="68" t="s">
        <v>147</v>
      </c>
      <c r="E101" s="70">
        <v>2000</v>
      </c>
      <c r="F101" s="70">
        <f t="shared" si="6"/>
        <v>4.8000000000000007</v>
      </c>
      <c r="G101" s="70">
        <f t="shared" ref="G101" si="9">E101*F101</f>
        <v>9600.0000000000018</v>
      </c>
      <c r="H101" s="71"/>
      <c r="I101" s="72" t="s">
        <v>213</v>
      </c>
      <c r="J101" s="72"/>
    </row>
    <row r="103" spans="2:10" x14ac:dyDescent="0.2">
      <c r="G103" s="75">
        <f>SUM(G4:G101)</f>
        <v>910841.11977197113</v>
      </c>
    </row>
  </sheetData>
  <mergeCells count="2">
    <mergeCell ref="B2:C2"/>
    <mergeCell ref="D2:H2"/>
  </mergeCells>
  <dataValidations count="1">
    <dataValidation type="list" errorStyle="warning" allowBlank="1" showInputMessage="1" showErrorMessage="1" error="Please select a value from the list" sqref="B4:B101" xr:uid="{D0DEE3E9-4F6B-4841-B97B-FC07904B08EC}">
      <formula1>INDIRECT(#REF!)</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6d9c23-33c1-4aaa-b610-0b49484beeba" xsi:nil="true"/>
    <Function_x0028_s_x0029_ xmlns="446d9c23-33c1-4aaa-b610-0b49484beeba" xsi:nil="true"/>
    <Location_x0028_s_x0029_ xmlns="446d9c23-33c1-4aaa-b610-0b49484beeba" xsi:nil="true"/>
    <Language_x0028_s_x0029_ xmlns="446d9c23-33c1-4aaa-b610-0b49484beeba" xsi:nil="true"/>
    <h07063d4a6c74212ab877aa424a1f7d6 xmlns="446d9c23-33c1-4aaa-b610-0b49484beeba">
      <Terms xmlns="http://schemas.microsoft.com/office/infopath/2007/PartnerControls"/>
    </h07063d4a6c74212ab877aa424a1f7d6>
    <d51732ba3bba4342a416b429b6a40b0b xmlns="446d9c23-33c1-4aaa-b610-0b49484beeba">
      <Terms xmlns="http://schemas.microsoft.com/office/infopath/2007/PartnerControls"/>
    </d51732ba3bba4342a416b429b6a40b0b>
    <Classification_x0028_s_x0029_ xmlns="446d9c23-33c1-4aaa-b610-0b49484beeba" xsi:nil="true"/>
    <Knowledge_x0020_Base_x0020_Status xmlns="446d9c23-33c1-4aaa-b610-0b49484beeba">Do not display in Knowledge Base</Knowledge_x0020_Base_x0020_Status>
    <General_x0020_Document_x0020_Type xmlns="446d9c23-33c1-4aaa-b610-0b49484beeba" xsi:nil="true"/>
    <j49f4a525f6a4ed2b6a5dca880bae675 xmlns="446d9c23-33c1-4aaa-b610-0b49484beeba">
      <Terms xmlns="http://schemas.microsoft.com/office/infopath/2007/PartnerControls"/>
    </j49f4a525f6a4ed2b6a5dca880bae675>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alaria Consortium Document" ma:contentTypeID="0x0101001D5646EEDBA3214EB36B225F0D3F764600101DF5B5820CC6469F423CCA87D0985A" ma:contentTypeVersion="7" ma:contentTypeDescription="Content type for all other documents on the site. These are general documents that do not require control." ma:contentTypeScope="" ma:versionID="3adb47d82560afe6cc6352f4c57c0394">
  <xsd:schema xmlns:xsd="http://www.w3.org/2001/XMLSchema" xmlns:xs="http://www.w3.org/2001/XMLSchema" xmlns:p="http://schemas.microsoft.com/office/2006/metadata/properties" xmlns:ns2="446d9c23-33c1-4aaa-b610-0b49484beeba" xmlns:ns4="47e5d257-2757-4167-9d05-300d3629a3b6" targetNamespace="http://schemas.microsoft.com/office/2006/metadata/properties" ma:root="true" ma:fieldsID="81f130b0c3d5b485b54b8824dde29929" ns2:_="" ns4:_="">
    <xsd:import namespace="446d9c23-33c1-4aaa-b610-0b49484beeba"/>
    <xsd:import namespace="47e5d257-2757-4167-9d05-300d3629a3b6"/>
    <xsd:element name="properties">
      <xsd:complexType>
        <xsd:sequence>
          <xsd:element name="documentManagement">
            <xsd:complexType>
              <xsd:all>
                <xsd:element ref="ns2:Knowledge_x0020_Base_x0020_Status" minOccurs="0"/>
                <xsd:element ref="ns2:General_x0020_Document_x0020_Type" minOccurs="0"/>
                <xsd:element ref="ns2:Location_x0028_s_x0029_" minOccurs="0"/>
                <xsd:element ref="ns2:Function_x0028_s_x0029_" minOccurs="0"/>
                <xsd:element ref="ns2:Classification_x0028_s_x0029_" minOccurs="0"/>
                <xsd:element ref="ns2:Language_x0028_s_x0029_" minOccurs="0"/>
                <xsd:element ref="ns2:h07063d4a6c74212ab877aa424a1f7d6" minOccurs="0"/>
                <xsd:element ref="ns2:d51732ba3bba4342a416b429b6a40b0b" minOccurs="0"/>
                <xsd:element ref="ns2:TaxCatchAll" minOccurs="0"/>
                <xsd:element ref="ns2:TaxCatchAllLabel" minOccurs="0"/>
                <xsd:element ref="ns2:j49f4a525f6a4ed2b6a5dca880bae675" minOccurs="0"/>
                <xsd:element ref="ns4:MediaServiceMetadata" minOccurs="0"/>
                <xsd:element ref="ns4:MediaServiceFastMetadata" minOccurs="0"/>
                <xsd:element ref="ns2:SharedWithUsers" minOccurs="0"/>
                <xsd:element ref="ns2:SharedWithDetails"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6d9c23-33c1-4aaa-b610-0b49484beeba" elementFormDefault="qualified">
    <xsd:import namespace="http://schemas.microsoft.com/office/2006/documentManagement/types"/>
    <xsd:import namespace="http://schemas.microsoft.com/office/infopath/2007/PartnerControls"/>
    <xsd:element name="Knowledge_x0020_Base_x0020_Status" ma:index="2" nillable="true" ma:displayName="Knowledge Base Status" ma:default="Do not display in Knowledge Base" ma:format="Dropdown" ma:internalName="Knowledge_x0020_Base_x0020_Status">
      <xsd:simpleType>
        <xsd:restriction base="dms:Choice">
          <xsd:enumeration value="Do not display in Knowledge Base"/>
          <xsd:enumeration value="Display in Knowledge Base only for permitted users"/>
          <xsd:enumeration value="Display in Knowledge Base for all users"/>
        </xsd:restriction>
      </xsd:simpleType>
    </xsd:element>
    <xsd:element name="General_x0020_Document_x0020_Type" ma:index="3" nillable="true" ma:displayName="General Document Type" ma:format="Dropdown" ma:internalName="General_x0020_Document_x0020_Type">
      <xsd:simpleType>
        <xsd:restriction base="dms:Choice">
          <xsd:enumeration value="Agenda"/>
          <xsd:enumeration value="Audio"/>
          <xsd:enumeration value="Budget"/>
          <xsd:enumeration value="Contract"/>
          <xsd:enumeration value="Data"/>
          <xsd:enumeration value="Form"/>
          <xsd:enumeration value="Manual"/>
          <xsd:enumeration value="Minutes"/>
          <xsd:enumeration value="Plan"/>
          <xsd:enumeration value="Policy"/>
          <xsd:enumeration value="Process"/>
          <xsd:enumeration value="Proposal"/>
          <xsd:enumeration value="Publication"/>
          <xsd:enumeration value="Report"/>
          <xsd:enumeration value="Requirements"/>
          <xsd:enumeration value="Template"/>
          <xsd:enumeration value="Training"/>
          <xsd:enumeration value="Video"/>
        </xsd:restriction>
      </xsd:simpleType>
    </xsd:element>
    <xsd:element name="Location_x0028_s_x0029_" ma:index="4" nillable="true" ma:displayName="Location(s)" ma:internalName="Location_x0028_s_x0029_">
      <xsd:complexType>
        <xsd:complexContent>
          <xsd:extension base="dms:MultiChoice">
            <xsd:sequence>
              <xsd:element name="Value" maxOccurs="unbounded" minOccurs="0" nillable="true">
                <xsd:simpleType>
                  <xsd:restriction base="dms:Choice">
                    <xsd:enumeration value="Africa"/>
                    <xsd:enumeration value="Africa Regional"/>
                    <xsd:enumeration value="Asia"/>
                    <xsd:enumeration value="Asia Regional"/>
                    <xsd:enumeration value="Burkina Faso"/>
                    <xsd:enumeration value="Cambodia"/>
                    <xsd:enumeration value="Chad"/>
                    <xsd:enumeration value="Ethiopia"/>
                    <xsd:enumeration value="Europe"/>
                    <xsd:enumeration value="Gambia"/>
                    <xsd:enumeration value="Ghana"/>
                    <xsd:enumeration value="Global"/>
                    <xsd:enumeration value="Guinea"/>
                    <xsd:enumeration value="Guinea-Bissau"/>
                    <xsd:enumeration value="Malawi"/>
                    <xsd:enumeration value="Mali"/>
                    <xsd:enumeration value="Mozambique"/>
                    <xsd:enumeration value="Myanmar"/>
                    <xsd:enumeration value="Nepal"/>
                    <xsd:enumeration value="Niger"/>
                    <xsd:enumeration value="Nigeria"/>
                    <xsd:enumeration value="North America"/>
                    <xsd:enumeration value="Senegal"/>
                    <xsd:enumeration value="South Sudan"/>
                    <xsd:enumeration value="Tanzania"/>
                    <xsd:enumeration value="Thailand"/>
                    <xsd:enumeration value="Togo"/>
                    <xsd:enumeration value="Uganda"/>
                    <xsd:enumeration value="UK"/>
                    <xsd:enumeration value="USA"/>
                    <xsd:enumeration value="Zambia"/>
                  </xsd:restriction>
                </xsd:simpleType>
              </xsd:element>
            </xsd:sequence>
          </xsd:extension>
        </xsd:complexContent>
      </xsd:complexType>
    </xsd:element>
    <xsd:element name="Function_x0028_s_x0029_" ma:index="5" nillable="true" ma:displayName="Function(s)" ma:format="Dropdown" ma:internalName="Function_x0028_s_x0029_">
      <xsd:simpleType>
        <xsd:restriction base="dms:Choice">
          <xsd:enumeration value="Business Development"/>
          <xsd:enumeration value="External Relations"/>
          <xsd:enumeration value="Finance"/>
          <xsd:enumeration value="General Management"/>
          <xsd:enumeration value="Global Management Group (GMG)"/>
          <xsd:enumeration value="Human Resources (HR)"/>
          <xsd:enumeration value="Information Technology (IT)"/>
          <xsd:enumeration value="Internal Audit"/>
          <xsd:enumeration value="Location Management"/>
          <xsd:enumeration value="Operations"/>
          <xsd:enumeration value="Organisation Wide"/>
          <xsd:enumeration value="Programme Management"/>
          <xsd:enumeration value="Risk Management"/>
          <xsd:enumeration value="Technical"/>
          <xsd:enumeration value="Trustees"/>
        </xsd:restriction>
      </xsd:simpleType>
    </xsd:element>
    <xsd:element name="Classification_x0028_s_x0029_" ma:index="6" nillable="true" ma:displayName="Classification(s)" ma:format="Dropdown" ma:internalName="Classification_x0028_s_x0029_">
      <xsd:simpleType>
        <xsd:restriction base="dms:Choice">
          <xsd:enumeration value="Public"/>
          <xsd:enumeration value="Restricted Commercial"/>
          <xsd:enumeration value="Restricted Financial"/>
          <xsd:enumeration value="Restricted Personal Data (not staff)"/>
          <xsd:enumeration value="Restricted Sensitive Personal Information"/>
          <xsd:enumeration value="Restrictive Staff Records"/>
          <xsd:enumeration value="Restrictive Strategic"/>
        </xsd:restriction>
      </xsd:simpleType>
    </xsd:element>
    <xsd:element name="Language_x0028_s_x0029_" ma:index="7" nillable="true" ma:displayName="Language(s)" ma:format="Dropdown" ma:internalName="Language_x0028_s_x0029_">
      <xsd:simpleType>
        <xsd:restriction base="dms:Choice">
          <xsd:enumeration value="Arabic"/>
          <xsd:enumeration value="Burmese"/>
          <xsd:enumeration value="English"/>
          <xsd:enumeration value="French"/>
          <xsd:enumeration value="Khmer"/>
          <xsd:enumeration value="Portugese"/>
          <xsd:enumeration value="Spanish"/>
          <xsd:enumeration value="Thai"/>
        </xsd:restriction>
      </xsd:simpleType>
    </xsd:element>
    <xsd:element name="h07063d4a6c74212ab877aa424a1f7d6" ma:index="12" nillable="true" ma:taxonomy="true" ma:internalName="h07063d4a6c74212ab877aa424a1f7d6" ma:taxonomyFieldName="Diseases" ma:displayName="Diseases" ma:readOnly="false" ma:default="" ma:fieldId="{107063d4-a6c7-4212-ab87-7aa424a1f7d6}" ma:taxonomyMulti="true" ma:sspId="0c4f23ce-abd6-4fbe-ba55-9ba9bb7442d8" ma:termSetId="4ece0d02-a915-426b-8586-b8b7860cdff3" ma:anchorId="00000000-0000-0000-0000-000000000000" ma:open="false" ma:isKeyword="false">
      <xsd:complexType>
        <xsd:sequence>
          <xsd:element ref="pc:Terms" minOccurs="0" maxOccurs="1"/>
        </xsd:sequence>
      </xsd:complexType>
    </xsd:element>
    <xsd:element name="d51732ba3bba4342a416b429b6a40b0b" ma:index="14" nillable="true" ma:taxonomy="true" ma:internalName="d51732ba3bba4342a416b429b6a40b0b" ma:taxonomyFieldName="Tools_x0020_and_x0020_Techniques" ma:displayName="Tools and Techniques" ma:readOnly="false" ma:default="" ma:fieldId="{d51732ba-3bba-4342-a416-b429b6a40b0b}" ma:taxonomyMulti="true" ma:sspId="0c4f23ce-abd6-4fbe-ba55-9ba9bb7442d8" ma:termSetId="178e11fd-d4ce-402e-b760-9e71f48154fd"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2f3aa77b-467f-474c-b4cc-3733fce4533c}" ma:internalName="TaxCatchAll" ma:showField="CatchAllData" ma:web="446d9c23-33c1-4aaa-b610-0b49484beeba">
      <xsd:complexType>
        <xsd:complexContent>
          <xsd:extension base="dms:MultiChoiceLookup">
            <xsd:sequence>
              <xsd:element name="Value" type="dms:Lookup" maxOccurs="unbounded" minOccurs="0" nillable="true"/>
            </xsd:sequence>
          </xsd:extension>
        </xsd:complexContent>
      </xsd:complexType>
    </xsd:element>
    <xsd:element name="TaxCatchAllLabel" ma:index="21" nillable="true" ma:displayName="Taxonomy Catch All Column1" ma:hidden="true" ma:list="{2f3aa77b-467f-474c-b4cc-3733fce4533c}" ma:internalName="TaxCatchAllLabel" ma:readOnly="true" ma:showField="CatchAllDataLabel" ma:web="446d9c23-33c1-4aaa-b610-0b49484beeba">
      <xsd:complexType>
        <xsd:complexContent>
          <xsd:extension base="dms:MultiChoiceLookup">
            <xsd:sequence>
              <xsd:element name="Value" type="dms:Lookup" maxOccurs="unbounded" minOccurs="0" nillable="true"/>
            </xsd:sequence>
          </xsd:extension>
        </xsd:complexContent>
      </xsd:complexType>
    </xsd:element>
    <xsd:element name="j49f4a525f6a4ed2b6a5dca880bae675" ma:index="22" nillable="true" ma:taxonomy="true" ma:internalName="j49f4a525f6a4ed2b6a5dca880bae675" ma:taxonomyFieldName="Project" ma:displayName="Project" ma:default="" ma:fieldId="{349f4a52-5f6a-4ed2-b6a5-dca880bae675}" ma:sspId="0c4f23ce-abd6-4fbe-ba55-9ba9bb7442d8" ma:termSetId="2b6b6760-1471-429e-a151-4284c2311bfb" ma:anchorId="00000000-0000-0000-0000-000000000000" ma:open="false" ma:isKeyword="false">
      <xsd:complexType>
        <xsd:sequence>
          <xsd:element ref="pc:Terms" minOccurs="0" maxOccurs="1"/>
        </xsd:sequence>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e5d257-2757-4167-9d05-300d3629a3b6" elementFormDefault="qualified">
    <xsd:import namespace="http://schemas.microsoft.com/office/2006/documentManagement/types"/>
    <xsd:import namespace="http://schemas.microsoft.com/office/infopath/2007/PartnerControls"/>
    <xsd:element name="MediaServiceMetadata" ma:index="24" nillable="true" ma:displayName="MediaServiceMetadata" ma:description="" ma:hidden="true" ma:internalName="MediaServiceMetadata" ma:readOnly="true">
      <xsd:simpleType>
        <xsd:restriction base="dms:Note"/>
      </xsd:simpleType>
    </xsd:element>
    <xsd:element name="MediaServiceFastMetadata" ma:index="25" nillable="true" ma:displayName="MediaServiceFastMetadata" ma:description="" ma:hidden="true" ma:internalName="MediaServiceFastMetadata" ma:readOnly="true">
      <xsd:simpleType>
        <xsd:restriction base="dms:Note"/>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1" ma:displayName="Author"/>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94F58-4F6A-4ACF-A301-22BA7755A6D7}">
  <ds:schemaRefs>
    <ds:schemaRef ds:uri="http://purl.org/dc/elements/1.1/"/>
    <ds:schemaRef ds:uri="http://schemas.microsoft.com/office/2006/documentManagement/types"/>
    <ds:schemaRef ds:uri="http://purl.org/dc/terms/"/>
    <ds:schemaRef ds:uri="http://www.w3.org/XML/1998/namespace"/>
    <ds:schemaRef ds:uri="446d9c23-33c1-4aaa-b610-0b49484beeba"/>
    <ds:schemaRef ds:uri="http://purl.org/dc/dcmitype/"/>
    <ds:schemaRef ds:uri="http://schemas.microsoft.com/office/infopath/2007/PartnerControls"/>
    <ds:schemaRef ds:uri="http://schemas.openxmlformats.org/package/2006/metadata/core-properties"/>
    <ds:schemaRef ds:uri="47e5d257-2757-4167-9d05-300d3629a3b6"/>
    <ds:schemaRef ds:uri="http://schemas.microsoft.com/office/2006/metadata/properties"/>
  </ds:schemaRefs>
</ds:datastoreItem>
</file>

<file path=customXml/itemProps2.xml><?xml version="1.0" encoding="utf-8"?>
<ds:datastoreItem xmlns:ds="http://schemas.openxmlformats.org/officeDocument/2006/customXml" ds:itemID="{D5BEB663-E44C-48C5-9EDD-E34417FD60DD}">
  <ds:schemaRefs>
    <ds:schemaRef ds:uri="http://schemas.microsoft.com/sharepoint/v3/contenttype/forms"/>
  </ds:schemaRefs>
</ds:datastoreItem>
</file>

<file path=customXml/itemProps3.xml><?xml version="1.0" encoding="utf-8"?>
<ds:datastoreItem xmlns:ds="http://schemas.openxmlformats.org/officeDocument/2006/customXml" ds:itemID="{F1771573-CA71-45ED-8CC0-ED4277BE1D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6d9c23-33c1-4aaa-b610-0b49484beeba"/>
    <ds:schemaRef ds:uri="47e5d257-2757-4167-9d05-300d3629a3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89f2198-c796-49cd-8692-fe7856cf6d68}" enabled="0" method="" siteId="{389f2198-c796-49cd-8692-fe7856cf6d68}"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Summary 2023-25</vt:lpstr>
      <vt:lpstr>2025 Budget</vt:lpstr>
      <vt:lpstr>Workings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Annie Barnett</cp:lastModifiedBy>
  <cp:revision/>
  <dcterms:created xsi:type="dcterms:W3CDTF">2021-06-16T10:26:12Z</dcterms:created>
  <dcterms:modified xsi:type="dcterms:W3CDTF">2024-12-17T16:14:28Z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0x0101001D5646EEDBA3214EB36B225F0D3F764600101DF5B5820CC6469F423CCA87D0985A</vt:lpwstr>
  </property>
  <property fmtid="{D5CDD505-2E9C-101B-9397-08002B2CF9AE}" pid="3" name="Project">
    <vt:lpwstr/>
  </property>
  <property fmtid="{D5CDD505-2E9C-101B-9397-08002B2CF9AE}" pid="4" name="Tools and Techniques">
    <vt:lpwstr/>
  </property>
  <property fmtid="{D5CDD505-2E9C-101B-9397-08002B2CF9AE}" pid="5" name="Diseases">
    <vt:lpwstr/>
  </property>
</Properties>
</file>