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Impact" sheetId="1" r:id="rId4"/>
    <sheet state="visible" name="Cost-effectivness model RCT sta" sheetId="2" r:id="rId5"/>
    <sheet state="visible" name="Cost-effectivness mode re-airin" sheetId="3" r:id="rId6"/>
    <sheet state="visible" name="RCT Budget summary" sheetId="4" r:id="rId7"/>
  </sheets>
  <definedNames/>
  <calcPr/>
  <extLst>
    <ext uri="GoogleSheetsCustomDataVersion2">
      <go:sheetsCustomData xmlns:go="http://customooxmlschemas.google.com/" r:id="rId8" roundtripDataChecksum="Ntr24QxvqoizLq/LKQtlD4EEQTZ7K9GsOOuWmjosGL0="/>
    </ext>
  </extLst>
</workbook>
</file>

<file path=xl/sharedStrings.xml><?xml version="1.0" encoding="utf-8"?>
<sst xmlns="http://schemas.openxmlformats.org/spreadsheetml/2006/main" count="267" uniqueCount="126">
  <si>
    <t>Benefit</t>
  </si>
  <si>
    <t>Total</t>
  </si>
  <si>
    <t>Kaduna</t>
  </si>
  <si>
    <t>Anambra</t>
  </si>
  <si>
    <t>Ondo</t>
  </si>
  <si>
    <t>Kano</t>
  </si>
  <si>
    <t>Oyo</t>
  </si>
  <si>
    <t>Ogun</t>
  </si>
  <si>
    <t>Osoun</t>
  </si>
  <si>
    <t>Delta</t>
  </si>
  <si>
    <t>Abia</t>
  </si>
  <si>
    <t>Niger</t>
  </si>
  <si>
    <t>Nassarawa</t>
  </si>
  <si>
    <t xml:space="preserve">Listeners to radio station partner </t>
  </si>
  <si>
    <t>Listeners to radio station partner discounted</t>
  </si>
  <si>
    <t>Women of reproductive age reached through our radio intervention discounted</t>
  </si>
  <si>
    <t>Total # new contraceptive users due to FEM campaign, extrapolating from effects in Burkina Faso discounted</t>
  </si>
  <si>
    <t>Total # fewer unintended pregnancies discounted</t>
  </si>
  <si>
    <t>Total # of abortions averted discounted</t>
  </si>
  <si>
    <t>Total # of unsafe abortions averted discounted</t>
  </si>
  <si>
    <t>Total Maternal Deaths averted discounted</t>
  </si>
  <si>
    <t>Total DALY averted from fistula discounted</t>
  </si>
  <si>
    <t>Total DALY averted from postpartum depression discounted</t>
  </si>
  <si>
    <t>Total DALY averted from post anemia discounted</t>
  </si>
  <si>
    <t>Total DALY averted</t>
  </si>
  <si>
    <t>Total DALY equivalents averted</t>
  </si>
  <si>
    <t>Total maternal death equivalents averted</t>
  </si>
  <si>
    <t>FAMILY PLANNING CAMPAIGNS</t>
  </si>
  <si>
    <t>State</t>
  </si>
  <si>
    <t>FM station</t>
  </si>
  <si>
    <t>Freedom Radio</t>
  </si>
  <si>
    <t>ABS</t>
  </si>
  <si>
    <t>Adaba</t>
  </si>
  <si>
    <t>See Tab "Radio Data Kogi and surrounding states" and "Radios date Anambra and surrounding states".</t>
  </si>
  <si>
    <t>[30% reduction]</t>
  </si>
  <si>
    <t>Radio Listeners to radio station partner station discounted</t>
  </si>
  <si>
    <t>The percentage of radio listeners are women of reproductive age</t>
  </si>
  <si>
    <t>Adjustments</t>
  </si>
  <si>
    <t>Number of years the impact is occurring</t>
  </si>
  <si>
    <t>Generalizability discount</t>
  </si>
  <si>
    <t>Contraceptive unmet need met</t>
  </si>
  <si>
    <t>Effect of radio interventions in Burkina Faso (% increase in contraceptive use per year in treated vs. controlled areas)</t>
  </si>
  <si>
    <t>https://www.developmentmedia.net/app/uploads/2021/03/The-Media-or-the-Message-Experimental-Evidence-on-Mass-Media-and-Modern-Contraception-Uptake-in-Burkina-Faso.pdf</t>
  </si>
  <si>
    <t>Modern Contraceptive Prevalence Rate</t>
  </si>
  <si>
    <t>DHS 2018</t>
  </si>
  <si>
    <t>The estimated increase in contraceptive use due to the campaign</t>
  </si>
  <si>
    <t>Total # new contraceptive users due to FEM campaign, extrapolating from effects in Burkina Faso</t>
  </si>
  <si>
    <t>Total # fewer unintended pregnancies</t>
  </si>
  <si>
    <t>Effect of radio interventions in Burkina Faso (% fewer births per year in treated vs. controlled areas)</t>
  </si>
  <si>
    <t>Average # of births per year per woman of reproductive age</t>
  </si>
  <si>
    <t>Estimated reduction in average # of births per year per woman of reproductive age</t>
  </si>
  <si>
    <t>Total # fewer births per year due to FEM campaign, extrapolating from effects in Burkina Faso</t>
  </si>
  <si>
    <t>% of pregnancies going to term (all pregnancies MINUS all miscarriages MINUS all abortions)</t>
  </si>
  <si>
    <t>https://www.guttmacher.org/fact-sheet/abortion-nigeria</t>
  </si>
  <si>
    <t>Total Unsafe Abortions Averted</t>
  </si>
  <si>
    <t>% of pregnancies ending in abortion</t>
  </si>
  <si>
    <t>% of abortions leading to complications serious enough to require medical treatment</t>
  </si>
  <si>
    <t>Total # of abortions averted</t>
  </si>
  <si>
    <t>Total # of unsafe abortions averted</t>
  </si>
  <si>
    <t>Total Maternal Deaths averted</t>
  </si>
  <si>
    <t>Annual number of maternal deaths per state</t>
  </si>
  <si>
    <t>https://www.healthynewbornnetwork.org/hnn-content/uploads/NIgeria-State-Profiles-Complete-Booklet.pdf</t>
  </si>
  <si>
    <t>Annual birth per state</t>
  </si>
  <si>
    <t>Maternal Mortality Rate</t>
  </si>
  <si>
    <t xml:space="preserve"> </t>
  </si>
  <si>
    <t>Total DALY averted from postpartum anemia, postpartum depression, and fistula</t>
  </si>
  <si>
    <t>Fistula rate</t>
  </si>
  <si>
    <t>https://www.google.com/url?q=https://fistulacare.org/archive/files/5/5.4/Nigeria_National_Strategy_2011-2015.pdf&amp;sa=D&amp;source=editors&amp;ust=1667407881494194&amp;usg=AOvVaw0XtxH80NqqBi8nA4ipUtib</t>
  </si>
  <si>
    <t>Postpartum depression rate</t>
  </si>
  <si>
    <t>https://www.google.com/url?q=https://www.ncbi.nlm.nih.gov/pmc/articles/PMC8351853/&amp;sa=D&amp;source=editors&amp;ust=1667407941768277&amp;usg=AOvVaw0VMi1J6_G3OKk8bb1UR1bv</t>
  </si>
  <si>
    <t>Postpartum anemia rate</t>
  </si>
  <si>
    <t>https://dhsprogram.com/pubs/pdf/FR359/FR359.pdf</t>
  </si>
  <si>
    <t>Disability weight fistula rate</t>
  </si>
  <si>
    <t>https://docs.google.com/document/d/1LOwcyeVKdZE_D3r5zqfRuMq-6t7yE8FzMuSzbOZ4-fU/edit#</t>
  </si>
  <si>
    <t>Disability weight postpartum depression</t>
  </si>
  <si>
    <t>Disability weight postpartum anemia rate</t>
  </si>
  <si>
    <t>Time suffering from fistula (years)</t>
  </si>
  <si>
    <t>Time suffering with postpartum depression (years)</t>
  </si>
  <si>
    <t>Time suffering with postpartum anemia rate (years)</t>
  </si>
  <si>
    <t>Total DALY averted from fistula</t>
  </si>
  <si>
    <t>Total DALY averted from postpartum depression</t>
  </si>
  <si>
    <t>Total DALY averted from post anemia</t>
  </si>
  <si>
    <t>Total DALYs and deaths equivalents averted</t>
  </si>
  <si>
    <t>DALYs averted per death averted</t>
  </si>
  <si>
    <t>https://www.google.com/url?q=https://forum.effectivealtruism.org/posts/HbunzTyFPRwcYihg6/long-lasting-insecticide-treated-nets-usd3-340-per-life&amp;sa=D&amp;source=editors&amp;ust=1667407733904938&amp;usg=AOvVaw1a0PZX--IqtKlfo4_a_W2X</t>
  </si>
  <si>
    <t>Costs</t>
  </si>
  <si>
    <t>DIRECT COSTS</t>
  </si>
  <si>
    <t>Formative research and prototyping</t>
  </si>
  <si>
    <t>Content Production and Broadcasting</t>
  </si>
  <si>
    <t>Partner and stakeholder engagement</t>
  </si>
  <si>
    <t>INDIRECT COSTS</t>
  </si>
  <si>
    <t>HQ Personnel</t>
  </si>
  <si>
    <t>HQ - Other Admin Costs</t>
  </si>
  <si>
    <t>Field - Admin Costs</t>
  </si>
  <si>
    <t>TOTAL</t>
  </si>
  <si>
    <t>Cost-effectiveness</t>
  </si>
  <si>
    <t>Dollars per new contraceptive user</t>
  </si>
  <si>
    <t>Dollars per new unintended pregnancy averted</t>
  </si>
  <si>
    <t>Dollars per unsafe abortion averted</t>
  </si>
  <si>
    <t>Dollars per DALY averted</t>
  </si>
  <si>
    <t>Dollars per maternal death averted</t>
  </si>
  <si>
    <t>Dollars per DALY equivalent averted</t>
  </si>
  <si>
    <t>Dollars per maternal death equivalent averted</t>
  </si>
  <si>
    <t>FEM strategy / estimated number</t>
  </si>
  <si>
    <t>Calculated number</t>
  </si>
  <si>
    <t>Citation based number</t>
  </si>
  <si>
    <t>Discount</t>
  </si>
  <si>
    <t>Realize /Ondo</t>
  </si>
  <si>
    <t>Parkers / Anambra</t>
  </si>
  <si>
    <t>Albaker/ iDevPro</t>
  </si>
  <si>
    <t>Osun</t>
  </si>
  <si>
    <t xml:space="preserve">Cost of customising and stakeholder engagement </t>
  </si>
  <si>
    <t xml:space="preserve">Program Implementation  </t>
  </si>
  <si>
    <t>RCT (M&amp;E component)</t>
  </si>
  <si>
    <t>Reairing</t>
  </si>
  <si>
    <t>Fixed vs. variable costs</t>
  </si>
  <si>
    <t>Jan 1 '23 - Dec 31 '25</t>
  </si>
  <si>
    <t>Variable costs</t>
  </si>
  <si>
    <t>Evaluation</t>
  </si>
  <si>
    <t>-</t>
  </si>
  <si>
    <t>Fixed costs</t>
  </si>
  <si>
    <t>Monitoring and evaluation</t>
  </si>
  <si>
    <t>Total direct costs</t>
  </si>
  <si>
    <t>Total indirect costs</t>
  </si>
  <si>
    <t>Total (without contingency)</t>
  </si>
  <si>
    <t>Contingency/buffer (@10%)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</si>
</sst>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#,##0.00000"/>
    <numFmt numFmtId="165" formatCode="0.0"/>
    <numFmt numFmtId="166" formatCode="0.000"/>
    <numFmt numFmtId="167" formatCode="0.0%"/>
    <numFmt numFmtId="168" formatCode="#,##0.0000"/>
    <numFmt numFmtId="169" formatCode="#,##0.0"/>
    <numFmt numFmtId="170" formatCode="[$$]#,##0"/>
    <numFmt numFmtId="171" formatCode="_(&quot;$&quot;* #,##0_);_(&quot;$&quot;* \(#,##0\);_(&quot;$&quot;* &quot;-&quot;??_);_(@_)"/>
  </numFmts>
  <fonts count="31">
    <font>
      <sz val="10.0"/>
      <color rgb="FF000000"/>
      <name val="Arial"/>
      <scheme val="minor"/>
    </font>
    <font>
      <color theme="1"/>
      <name val="Arial"/>
    </font>
    <font>
      <b/>
      <sz val="12.0"/>
      <color rgb="FFFFFFFF"/>
      <name val="Proxima Nova"/>
    </font>
    <font>
      <b/>
      <color theme="1"/>
      <name val="Proxima Nova"/>
    </font>
    <font>
      <i/>
      <color theme="1"/>
      <name val="Arial"/>
    </font>
    <font>
      <color rgb="FF000000"/>
      <name val="Arial"/>
    </font>
    <font>
      <b/>
      <sz val="18.0"/>
      <color theme="1"/>
      <name val="Arial"/>
    </font>
    <font/>
    <font>
      <b/>
      <sz val="18.0"/>
      <color rgb="FF000000"/>
      <name val="Arial"/>
    </font>
    <font>
      <i/>
      <sz val="12.0"/>
      <color rgb="FFFFFFFF"/>
      <name val="Proxima Nova"/>
    </font>
    <font>
      <b/>
      <sz val="12.0"/>
      <color rgb="FF000000"/>
      <name val="Proxima Nova"/>
    </font>
    <font>
      <color theme="1"/>
      <name val="Proxima Nova"/>
    </font>
    <font>
      <color rgb="FF000000"/>
      <name val="Proxima Nova"/>
    </font>
    <font>
      <b/>
      <sz val="12.0"/>
      <color theme="1"/>
      <name val="Proxima Nova"/>
    </font>
    <font>
      <u/>
      <color rgb="FF000000"/>
      <name val="Proxima Nova"/>
    </font>
    <font>
      <b/>
      <color rgb="FF000000"/>
      <name val="Proxima Nova"/>
    </font>
    <font>
      <sz val="10.0"/>
      <color theme="1"/>
      <name val="Proxima Nova"/>
    </font>
    <font>
      <sz val="10.0"/>
      <color rgb="FF000000"/>
      <name val="Proxima Nova"/>
    </font>
    <font>
      <b/>
      <i/>
      <color theme="1"/>
      <name val="Arial"/>
    </font>
    <font>
      <b/>
      <sz val="10.0"/>
      <color theme="1"/>
      <name val="Proxima Nova"/>
    </font>
    <font>
      <sz val="10.0"/>
      <color theme="1"/>
      <name val="Arial"/>
    </font>
    <font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Proxima Nova"/>
    </font>
    <font>
      <u/>
      <color rgb="FF000000"/>
      <name val="Proxima Nova"/>
    </font>
    <font>
      <u/>
      <color rgb="FF000000"/>
      <name val="Proxima Nova"/>
    </font>
    <font>
      <b/>
      <i/>
      <sz val="12.0"/>
      <color rgb="FFFFFFFF"/>
      <name val="Proxima Nova"/>
    </font>
    <font>
      <i/>
      <color theme="1"/>
      <name val="Proxima Nova"/>
    </font>
    <font>
      <b/>
      <color theme="1"/>
      <name val="Arial"/>
    </font>
    <font>
      <b/>
      <color rgb="FF000000"/>
      <name val="Arial"/>
    </font>
    <font>
      <b/>
      <color rgb="FFFFFF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14">
    <border/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1" numFmtId="0" xfId="0" applyBorder="1" applyFont="1"/>
    <xf borderId="2" fillId="2" fontId="2" numFmtId="0" xfId="0" applyAlignment="1" applyBorder="1" applyFill="1" applyFont="1">
      <alignment shrinkToFit="0" vertical="bottom" wrapText="1"/>
    </xf>
    <xf borderId="2" fillId="2" fontId="2" numFmtId="0" xfId="0" applyAlignment="1" applyBorder="1" applyFont="1">
      <alignment horizontal="center" shrinkToFit="0" vertical="bottom" wrapText="1"/>
    </xf>
    <xf borderId="2" fillId="2" fontId="2" numFmtId="0" xfId="0" applyAlignment="1" applyBorder="1" applyFont="1">
      <alignment horizontal="center" vertical="bottom"/>
    </xf>
    <xf borderId="3" fillId="2" fontId="2" numFmtId="0" xfId="0" applyAlignment="1" applyBorder="1" applyFont="1">
      <alignment horizontal="center" vertical="bottom"/>
    </xf>
    <xf borderId="4" fillId="2" fontId="2" numFmtId="0" xfId="0" applyAlignment="1" applyBorder="1" applyFont="1">
      <alignment horizontal="center" vertical="bottom"/>
    </xf>
    <xf borderId="2" fillId="3" fontId="3" numFmtId="0" xfId="0" applyAlignment="1" applyBorder="1" applyFill="1" applyFont="1">
      <alignment shrinkToFit="0" vertical="bottom" wrapText="1"/>
    </xf>
    <xf borderId="2" fillId="4" fontId="1" numFmtId="3" xfId="0" applyAlignment="1" applyBorder="1" applyFill="1" applyFont="1" applyNumberFormat="1">
      <alignment horizontal="center"/>
    </xf>
    <xf borderId="2" fillId="0" fontId="1" numFmtId="3" xfId="0" applyAlignment="1" applyBorder="1" applyFont="1" applyNumberFormat="1">
      <alignment horizontal="center"/>
    </xf>
    <xf borderId="3" fillId="0" fontId="1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164" xfId="0" applyFont="1" applyNumberFormat="1"/>
    <xf borderId="0" fillId="0" fontId="1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5" fontId="5" numFmtId="0" xfId="0" applyAlignment="1" applyFill="1" applyFont="1">
      <alignment horizontal="left" shrinkToFit="0" vertical="bottom" wrapText="1"/>
    </xf>
    <xf borderId="5" fillId="0" fontId="1" numFmtId="0" xfId="0" applyAlignment="1" applyBorder="1" applyFont="1">
      <alignment shrinkToFit="0" vertical="bottom" wrapText="1"/>
    </xf>
    <xf borderId="5" fillId="0" fontId="4" numFmtId="0" xfId="0" applyAlignment="1" applyBorder="1" applyFont="1">
      <alignment vertical="bottom"/>
    </xf>
    <xf borderId="5" fillId="0" fontId="6" numFmtId="0" xfId="0" applyAlignment="1" applyBorder="1" applyFont="1">
      <alignment horizontal="center" shrinkToFit="0" vertical="bottom" wrapText="1"/>
    </xf>
    <xf borderId="5" fillId="0" fontId="7" numFmtId="0" xfId="0" applyBorder="1" applyFont="1"/>
    <xf borderId="0" fillId="5" fontId="8" numFmtId="0" xfId="0" applyAlignment="1" applyFont="1">
      <alignment horizontal="left" shrinkToFit="0" vertical="bottom" wrapText="1"/>
    </xf>
    <xf borderId="2" fillId="2" fontId="9" numFmtId="0" xfId="0" applyAlignment="1" applyBorder="1" applyFont="1">
      <alignment horizontal="right" shrinkToFit="0" vertical="bottom" wrapText="1"/>
    </xf>
    <xf borderId="0" fillId="5" fontId="10" numFmtId="0" xfId="0" applyAlignment="1" applyFont="1">
      <alignment horizontal="left" shrinkToFit="0" vertical="bottom" wrapText="1"/>
    </xf>
    <xf borderId="2" fillId="2" fontId="9" numFmtId="0" xfId="0" applyAlignment="1" applyBorder="1" applyFont="1">
      <alignment horizontal="center" shrinkToFit="0" vertical="bottom" wrapText="1"/>
    </xf>
    <xf borderId="2" fillId="2" fontId="9" numFmtId="0" xfId="0" applyAlignment="1" applyBorder="1" applyFont="1">
      <alignment horizontal="center" vertical="bottom"/>
    </xf>
    <xf borderId="6" fillId="6" fontId="11" numFmtId="0" xfId="0" applyAlignment="1" applyBorder="1" applyFill="1" applyFont="1">
      <alignment shrinkToFit="0" vertical="bottom" wrapText="1"/>
    </xf>
    <xf borderId="7" fillId="0" fontId="4" numFmtId="3" xfId="0" applyAlignment="1" applyBorder="1" applyFont="1" applyNumberFormat="1">
      <alignment vertical="bottom"/>
    </xf>
    <xf borderId="7" fillId="0" fontId="11" numFmtId="3" xfId="0" applyAlignment="1" applyBorder="1" applyFont="1" applyNumberFormat="1">
      <alignment horizontal="center" shrinkToFit="0" vertical="bottom" wrapText="1"/>
    </xf>
    <xf borderId="7" fillId="0" fontId="11" numFmtId="3" xfId="0" applyAlignment="1" applyBorder="1" applyFont="1" applyNumberFormat="1">
      <alignment horizontal="center" vertical="bottom"/>
    </xf>
    <xf borderId="0" fillId="5" fontId="12" numFmtId="3" xfId="0" applyAlignment="1" applyFont="1" applyNumberFormat="1">
      <alignment horizontal="left" shrinkToFit="0" vertical="bottom" wrapText="1"/>
    </xf>
    <xf borderId="6" fillId="4" fontId="11" numFmtId="0" xfId="0" applyAlignment="1" applyBorder="1" applyFont="1">
      <alignment shrinkToFit="0" vertical="bottom" wrapText="1"/>
    </xf>
    <xf borderId="7" fillId="0" fontId="11" numFmtId="9" xfId="0" applyAlignment="1" applyBorder="1" applyFont="1" applyNumberFormat="1">
      <alignment horizontal="center" shrinkToFit="0" vertical="bottom" wrapText="1"/>
    </xf>
    <xf borderId="0" fillId="5" fontId="12" numFmtId="9" xfId="0" applyAlignment="1" applyFont="1" applyNumberFormat="1">
      <alignment horizontal="left" shrinkToFit="0" vertical="bottom" wrapText="1"/>
    </xf>
    <xf borderId="6" fillId="3" fontId="11" numFmtId="0" xfId="0" applyAlignment="1" applyBorder="1" applyFont="1">
      <alignment shrinkToFit="0" vertical="bottom" wrapText="1"/>
    </xf>
    <xf borderId="5" fillId="0" fontId="13" numFmtId="0" xfId="0" applyAlignment="1" applyBorder="1" applyFont="1">
      <alignment shrinkToFit="0" vertical="bottom" wrapText="0"/>
    </xf>
    <xf borderId="5" fillId="0" fontId="4" numFmtId="1" xfId="0" applyAlignment="1" applyBorder="1" applyFont="1" applyNumberFormat="1">
      <alignment vertical="bottom"/>
    </xf>
    <xf borderId="5" fillId="0" fontId="1" numFmtId="4" xfId="0" applyAlignment="1" applyBorder="1" applyFont="1" applyNumberFormat="1">
      <alignment vertical="bottom"/>
    </xf>
    <xf borderId="0" fillId="5" fontId="5" numFmtId="1" xfId="0" applyAlignment="1" applyFont="1" applyNumberFormat="1">
      <alignment horizontal="left" shrinkToFit="0" vertical="bottom" wrapText="1"/>
    </xf>
    <xf borderId="8" fillId="0" fontId="1" numFmtId="0" xfId="0" applyAlignment="1" applyBorder="1" applyFont="1">
      <alignment vertical="bottom"/>
    </xf>
    <xf borderId="7" fillId="6" fontId="12" numFmtId="0" xfId="0" applyAlignment="1" applyBorder="1" applyFont="1">
      <alignment shrinkToFit="0" vertical="bottom" wrapText="1"/>
    </xf>
    <xf borderId="7" fillId="0" fontId="4" numFmtId="1" xfId="0" applyAlignment="1" applyBorder="1" applyFont="1" applyNumberFormat="1">
      <alignment vertical="bottom"/>
    </xf>
    <xf borderId="7" fillId="0" fontId="11" numFmtId="4" xfId="0" applyAlignment="1" applyBorder="1" applyFont="1" applyNumberFormat="1">
      <alignment horizontal="center" shrinkToFit="0" vertical="bottom" wrapText="1"/>
    </xf>
    <xf borderId="7" fillId="7" fontId="11" numFmtId="0" xfId="0" applyAlignment="1" applyBorder="1" applyFill="1" applyFont="1">
      <alignment shrinkToFit="0" vertical="bottom" wrapText="1"/>
    </xf>
    <xf borderId="7" fillId="0" fontId="4" numFmtId="165" xfId="0" applyAlignment="1" applyBorder="1" applyFont="1" applyNumberFormat="1">
      <alignment vertical="bottom"/>
    </xf>
    <xf borderId="0" fillId="5" fontId="5" numFmtId="165" xfId="0" applyAlignment="1" applyFont="1" applyNumberFormat="1">
      <alignment horizontal="left" shrinkToFit="0" vertical="bottom" wrapText="1"/>
    </xf>
    <xf borderId="0" fillId="5" fontId="5" numFmtId="2" xfId="0" applyAlignment="1" applyFont="1" applyNumberFormat="1">
      <alignment horizontal="left" shrinkToFit="0" vertical="bottom" wrapText="1"/>
    </xf>
    <xf borderId="5" fillId="0" fontId="13" numFmtId="0" xfId="0" applyAlignment="1" applyBorder="1" applyFont="1">
      <alignment shrinkToFit="0" vertical="bottom" wrapText="1"/>
    </xf>
    <xf borderId="0" fillId="0" fontId="4" numFmtId="10" xfId="0" applyAlignment="1" applyFont="1" applyNumberFormat="1">
      <alignment vertical="bottom"/>
    </xf>
    <xf borderId="0" fillId="0" fontId="1" numFmtId="4" xfId="0" applyAlignment="1" applyFont="1" applyNumberFormat="1">
      <alignment vertical="bottom"/>
    </xf>
    <xf borderId="0" fillId="0" fontId="1" numFmtId="10" xfId="0" applyAlignment="1" applyFont="1" applyNumberFormat="1">
      <alignment vertical="bottom"/>
    </xf>
    <xf borderId="0" fillId="5" fontId="5" numFmtId="10" xfId="0" applyAlignment="1" applyFont="1" applyNumberFormat="1">
      <alignment horizontal="left" shrinkToFit="0" vertical="bottom" wrapText="1"/>
    </xf>
    <xf borderId="2" fillId="6" fontId="11" numFmtId="0" xfId="0" applyAlignment="1" applyBorder="1" applyFont="1">
      <alignment shrinkToFit="0" vertical="bottom" wrapText="1"/>
    </xf>
    <xf borderId="9" fillId="0" fontId="4" numFmtId="4" xfId="0" applyAlignment="1" applyBorder="1" applyFont="1" applyNumberFormat="1">
      <alignment vertical="bottom"/>
    </xf>
    <xf borderId="9" fillId="0" fontId="11" numFmtId="4" xfId="0" applyAlignment="1" applyBorder="1" applyFont="1" applyNumberFormat="1">
      <alignment horizontal="center" shrinkToFit="0" vertical="bottom" wrapText="1"/>
    </xf>
    <xf borderId="0" fillId="5" fontId="14" numFmtId="3" xfId="0" applyAlignment="1" applyFont="1" applyNumberFormat="1">
      <alignment horizontal="left" shrinkToFit="0" vertical="bottom" wrapText="1"/>
    </xf>
    <xf borderId="7" fillId="0" fontId="4" numFmtId="4" xfId="0" applyAlignment="1" applyBorder="1" applyFont="1" applyNumberFormat="1">
      <alignment vertical="bottom"/>
    </xf>
    <xf borderId="7" fillId="5" fontId="4" numFmtId="166" xfId="0" applyAlignment="1" applyBorder="1" applyFont="1" applyNumberFormat="1">
      <alignment vertical="bottom"/>
    </xf>
    <xf borderId="7" fillId="5" fontId="11" numFmtId="167" xfId="0" applyAlignment="1" applyBorder="1" applyFont="1" applyNumberFormat="1">
      <alignment horizontal="center" shrinkToFit="0" vertical="bottom" wrapText="1"/>
    </xf>
    <xf borderId="7" fillId="5" fontId="11" numFmtId="167" xfId="0" applyAlignment="1" applyBorder="1" applyFont="1" applyNumberFormat="1">
      <alignment horizontal="center" vertical="bottom"/>
    </xf>
    <xf borderId="0" fillId="5" fontId="12" numFmtId="166" xfId="0" applyAlignment="1" applyFont="1" applyNumberFormat="1">
      <alignment horizontal="left" shrinkToFit="0" vertical="bottom" wrapText="1"/>
    </xf>
    <xf borderId="7" fillId="0" fontId="3" numFmtId="3" xfId="0" applyAlignment="1" applyBorder="1" applyFont="1" applyNumberFormat="1">
      <alignment horizontal="center" shrinkToFit="0" vertical="bottom" wrapText="1"/>
    </xf>
    <xf borderId="0" fillId="5" fontId="15" numFmtId="3" xfId="0" applyAlignment="1" applyFont="1" applyNumberFormat="1">
      <alignment horizontal="left" shrinkToFit="0" vertical="bottom" wrapText="1"/>
    </xf>
    <xf borderId="0" fillId="0" fontId="13" numFmtId="0" xfId="0" applyAlignment="1" applyFont="1">
      <alignment shrinkToFit="0" vertical="bottom" wrapText="1"/>
    </xf>
    <xf borderId="0" fillId="5" fontId="5" numFmtId="3" xfId="0" applyAlignment="1" applyFont="1" applyNumberFormat="1">
      <alignment horizontal="left" shrinkToFit="0" vertical="bottom" wrapText="1"/>
    </xf>
    <xf borderId="5" fillId="0" fontId="4" numFmtId="10" xfId="0" applyAlignment="1" applyBorder="1" applyFont="1" applyNumberFormat="1">
      <alignment vertical="bottom"/>
    </xf>
    <xf borderId="5" fillId="0" fontId="1" numFmtId="0" xfId="0" applyAlignment="1" applyBorder="1" applyFont="1">
      <alignment vertical="bottom"/>
    </xf>
    <xf borderId="5" fillId="0" fontId="1" numFmtId="10" xfId="0" applyAlignment="1" applyBorder="1" applyFont="1" applyNumberFormat="1">
      <alignment vertical="bottom"/>
    </xf>
    <xf borderId="7" fillId="0" fontId="11" numFmtId="4" xfId="0" applyAlignment="1" applyBorder="1" applyFont="1" applyNumberFormat="1">
      <alignment horizontal="center" vertical="bottom"/>
    </xf>
    <xf borderId="2" fillId="0" fontId="11" numFmtId="4" xfId="0" applyAlignment="1" applyBorder="1" applyFont="1" applyNumberFormat="1">
      <alignment horizontal="center" vertical="bottom"/>
    </xf>
    <xf borderId="7" fillId="5" fontId="11" numFmtId="166" xfId="0" applyAlignment="1" applyBorder="1" applyFont="1" applyNumberFormat="1">
      <alignment horizontal="center" shrinkToFit="0" vertical="bottom" wrapText="1"/>
    </xf>
    <xf borderId="7" fillId="5" fontId="4" numFmtId="3" xfId="0" applyAlignment="1" applyBorder="1" applyFont="1" applyNumberFormat="1">
      <alignment vertical="bottom"/>
    </xf>
    <xf borderId="7" fillId="5" fontId="11" numFmtId="3" xfId="0" applyAlignment="1" applyBorder="1" applyFont="1" applyNumberFormat="1">
      <alignment horizontal="center" shrinkToFit="0" vertical="bottom" wrapText="1"/>
    </xf>
    <xf borderId="2" fillId="0" fontId="4" numFmtId="3" xfId="0" applyAlignment="1" applyBorder="1" applyFont="1" applyNumberFormat="1">
      <alignment vertical="bottom"/>
    </xf>
    <xf borderId="2" fillId="0" fontId="11" numFmtId="4" xfId="0" applyAlignment="1" applyBorder="1" applyFont="1" applyNumberFormat="1">
      <alignment horizontal="center" shrinkToFit="0" vertical="bottom" wrapText="1"/>
    </xf>
    <xf borderId="2" fillId="5" fontId="3" numFmtId="3" xfId="0" applyAlignment="1" applyBorder="1" applyFont="1" applyNumberFormat="1">
      <alignment horizontal="center" shrinkToFit="0" vertical="bottom" wrapText="1"/>
    </xf>
    <xf borderId="0" fillId="0" fontId="3" numFmtId="0" xfId="0" applyAlignment="1" applyFont="1">
      <alignment shrinkToFit="0" vertical="bottom" wrapText="1"/>
    </xf>
    <xf borderId="0" fillId="0" fontId="4" numFmtId="3" xfId="0" applyAlignment="1" applyFont="1" applyNumberFormat="1">
      <alignment vertical="bottom"/>
    </xf>
    <xf borderId="0" fillId="0" fontId="3" numFmtId="3" xfId="0" applyAlignment="1" applyFont="1" applyNumberFormat="1">
      <alignment horizontal="center" shrinkToFit="0" vertical="bottom" wrapText="1"/>
    </xf>
    <xf borderId="0" fillId="0" fontId="3" numFmtId="3" xfId="0" applyAlignment="1" applyFont="1" applyNumberFormat="1">
      <alignment horizontal="center" vertical="bottom"/>
    </xf>
    <xf borderId="0" fillId="0" fontId="11" numFmtId="9" xfId="0" applyAlignment="1" applyFont="1" applyNumberFormat="1">
      <alignment horizontal="center" shrinkToFit="0" vertical="bottom" wrapText="1"/>
    </xf>
    <xf borderId="0" fillId="0" fontId="11" numFmtId="9" xfId="0" applyAlignment="1" applyFont="1" applyNumberFormat="1">
      <alignment horizontal="center" vertical="bottom"/>
    </xf>
    <xf borderId="2" fillId="0" fontId="11" numFmtId="9" xfId="0" applyAlignment="1" applyBorder="1" applyFont="1" applyNumberFormat="1">
      <alignment horizontal="center" shrinkToFit="0" vertical="bottom" wrapText="1"/>
    </xf>
    <xf borderId="2" fillId="0" fontId="11" numFmtId="9" xfId="0" applyAlignment="1" applyBorder="1" applyFont="1" applyNumberFormat="1">
      <alignment horizontal="center" vertical="bottom"/>
    </xf>
    <xf borderId="6" fillId="3" fontId="3" numFmtId="0" xfId="0" applyAlignment="1" applyBorder="1" applyFont="1">
      <alignment shrinkToFit="0" vertical="bottom" wrapText="1"/>
    </xf>
    <xf borderId="2" fillId="0" fontId="3" numFmtId="3" xfId="0" applyAlignment="1" applyBorder="1" applyFont="1" applyNumberFormat="1">
      <alignment horizontal="center" shrinkToFit="0" vertical="bottom" wrapText="1"/>
    </xf>
    <xf borderId="5" fillId="0" fontId="4" numFmtId="2" xfId="0" applyAlignment="1" applyBorder="1" applyFont="1" applyNumberFormat="1">
      <alignment vertical="bottom"/>
    </xf>
    <xf borderId="5" fillId="0" fontId="1" numFmtId="2" xfId="0" applyAlignment="1" applyBorder="1" applyFont="1" applyNumberFormat="1">
      <alignment vertical="bottom"/>
    </xf>
    <xf borderId="0" fillId="0" fontId="1" numFmtId="2" xfId="0" applyAlignment="1" applyFont="1" applyNumberFormat="1">
      <alignment vertical="bottom"/>
    </xf>
    <xf borderId="2" fillId="0" fontId="4" numFmtId="4" xfId="0" applyAlignment="1" applyBorder="1" applyFont="1" applyNumberFormat="1">
      <alignment vertical="bottom"/>
    </xf>
    <xf borderId="2" fillId="0" fontId="11" numFmtId="3" xfId="0" applyAlignment="1" applyBorder="1" applyFont="1" applyNumberFormat="1">
      <alignment horizontal="center" shrinkToFit="0" vertical="bottom" wrapText="1"/>
    </xf>
    <xf borderId="2" fillId="0" fontId="11" numFmtId="3" xfId="0" applyAlignment="1" applyBorder="1" applyFont="1" applyNumberFormat="1">
      <alignment horizontal="center" vertical="bottom"/>
    </xf>
    <xf borderId="10" fillId="3" fontId="11" numFmtId="0" xfId="0" applyAlignment="1" applyBorder="1" applyFont="1">
      <alignment shrinkToFit="0" vertical="bottom" wrapText="1"/>
    </xf>
    <xf borderId="10" fillId="0" fontId="4" numFmtId="4" xfId="0" applyAlignment="1" applyBorder="1" applyFont="1" applyNumberFormat="1">
      <alignment vertical="bottom"/>
    </xf>
    <xf borderId="10" fillId="0" fontId="16" numFmtId="10" xfId="0" applyAlignment="1" applyBorder="1" applyFont="1" applyNumberFormat="1">
      <alignment horizontal="center" shrinkToFit="0" vertical="bottom" wrapText="1"/>
    </xf>
    <xf borderId="0" fillId="5" fontId="17" numFmtId="168" xfId="0" applyAlignment="1" applyFont="1" applyNumberFormat="1">
      <alignment horizontal="left" shrinkToFit="0" vertical="bottom" wrapText="1"/>
    </xf>
    <xf borderId="11" fillId="0" fontId="18" numFmtId="4" xfId="0" applyAlignment="1" applyBorder="1" applyFont="1" applyNumberFormat="1">
      <alignment vertical="bottom"/>
    </xf>
    <xf borderId="2" fillId="0" fontId="19" numFmtId="3" xfId="0" applyAlignment="1" applyBorder="1" applyFont="1" applyNumberFormat="1">
      <alignment horizontal="center" shrinkToFit="0" vertical="bottom" wrapText="1"/>
    </xf>
    <xf borderId="0" fillId="5" fontId="17" numFmtId="3" xfId="0" applyAlignment="1" applyFont="1" applyNumberFormat="1">
      <alignment horizontal="left" shrinkToFit="0" vertical="bottom" wrapText="1"/>
    </xf>
    <xf borderId="11" fillId="0" fontId="11" numFmtId="0" xfId="0" applyAlignment="1" applyBorder="1" applyFont="1">
      <alignment shrinkToFit="0" vertical="bottom" wrapText="1"/>
    </xf>
    <xf borderId="11" fillId="0" fontId="4" numFmtId="4" xfId="0" applyAlignment="1" applyBorder="1" applyFont="1" applyNumberFormat="1">
      <alignment vertical="bottom"/>
    </xf>
    <xf borderId="11" fillId="0" fontId="16" numFmtId="10" xfId="0" applyAlignment="1" applyBorder="1" applyFont="1" applyNumberFormat="1">
      <alignment horizontal="center" shrinkToFit="0" vertical="bottom" wrapText="1"/>
    </xf>
    <xf borderId="11" fillId="0" fontId="20" numFmtId="10" xfId="0" applyAlignment="1" applyBorder="1" applyFont="1" applyNumberFormat="1">
      <alignment horizontal="center" vertical="bottom"/>
    </xf>
    <xf borderId="0" fillId="0" fontId="20" numFmtId="10" xfId="0" applyAlignment="1" applyFont="1" applyNumberFormat="1">
      <alignment horizontal="center" vertical="bottom"/>
    </xf>
    <xf borderId="0" fillId="5" fontId="21" numFmtId="10" xfId="0" applyAlignment="1" applyFont="1" applyNumberFormat="1">
      <alignment horizontal="left" shrinkToFit="0" vertical="bottom" wrapText="1"/>
    </xf>
    <xf borderId="5" fillId="0" fontId="4" numFmtId="4" xfId="0" applyAlignment="1" applyBorder="1" applyFont="1" applyNumberFormat="1">
      <alignment vertical="bottom"/>
    </xf>
    <xf borderId="5" fillId="0" fontId="16" numFmtId="10" xfId="0" applyAlignment="1" applyBorder="1" applyFont="1" applyNumberFormat="1">
      <alignment horizontal="center" shrinkToFit="0" vertical="bottom" wrapText="1"/>
    </xf>
    <xf borderId="5" fillId="0" fontId="20" numFmtId="10" xfId="0" applyAlignment="1" applyBorder="1" applyFont="1" applyNumberFormat="1">
      <alignment horizontal="center" vertical="bottom"/>
    </xf>
    <xf borderId="6" fillId="0" fontId="16" numFmtId="10" xfId="0" applyAlignment="1" applyBorder="1" applyFont="1" applyNumberFormat="1">
      <alignment horizontal="center" shrinkToFit="0" vertical="bottom" wrapText="1"/>
    </xf>
    <xf borderId="6" fillId="0" fontId="20" numFmtId="10" xfId="0" applyAlignment="1" applyBorder="1" applyFont="1" applyNumberFormat="1">
      <alignment horizontal="center" vertical="bottom"/>
    </xf>
    <xf borderId="2" fillId="0" fontId="20" numFmtId="10" xfId="0" applyAlignment="1" applyBorder="1" applyFont="1" applyNumberFormat="1">
      <alignment horizontal="center" vertical="bottom"/>
    </xf>
    <xf borderId="0" fillId="5" fontId="22" numFmtId="0" xfId="0" applyAlignment="1" applyFont="1">
      <alignment horizontal="left" shrinkToFit="0" vertical="bottom" wrapText="1"/>
    </xf>
    <xf borderId="6" fillId="0" fontId="16" numFmtId="9" xfId="0" applyAlignment="1" applyBorder="1" applyFont="1" applyNumberFormat="1">
      <alignment horizontal="center" shrinkToFit="0" vertical="bottom" wrapText="1"/>
    </xf>
    <xf borderId="6" fillId="0" fontId="16" numFmtId="9" xfId="0" applyAlignment="1" applyBorder="1" applyFont="1" applyNumberFormat="1">
      <alignment horizontal="center" vertical="bottom"/>
    </xf>
    <xf borderId="0" fillId="5" fontId="23" numFmtId="4" xfId="0" applyAlignment="1" applyFont="1" applyNumberFormat="1">
      <alignment horizontal="left" shrinkToFit="0" vertical="bottom" wrapText="1"/>
    </xf>
    <xf borderId="7" fillId="0" fontId="11" numFmtId="9" xfId="0" applyAlignment="1" applyBorder="1" applyFont="1" applyNumberFormat="1">
      <alignment horizontal="center" vertical="bottom"/>
    </xf>
    <xf borderId="0" fillId="5" fontId="24" numFmtId="4" xfId="0" applyAlignment="1" applyFont="1" applyNumberFormat="1">
      <alignment horizontal="left" shrinkToFit="0" vertical="bottom" wrapText="1"/>
    </xf>
    <xf borderId="6" fillId="0" fontId="16" numFmtId="0" xfId="0" applyAlignment="1" applyBorder="1" applyFont="1">
      <alignment horizontal="center" shrinkToFit="0" vertical="bottom" wrapText="1"/>
    </xf>
    <xf borderId="2" fillId="0" fontId="16" numFmtId="0" xfId="0" applyAlignment="1" applyBorder="1" applyFont="1">
      <alignment horizontal="center" shrinkToFit="0" vertical="bottom" wrapText="1"/>
    </xf>
    <xf borderId="2" fillId="3" fontId="11" numFmtId="0" xfId="0" applyAlignment="1" applyBorder="1" applyFont="1">
      <alignment shrinkToFit="0" vertical="bottom" wrapText="1"/>
    </xf>
    <xf borderId="2" fillId="0" fontId="16" numFmtId="169" xfId="0" applyAlignment="1" applyBorder="1" applyFont="1" applyNumberFormat="1">
      <alignment horizontal="center" shrinkToFit="0" vertical="bottom" wrapText="1"/>
    </xf>
    <xf borderId="0" fillId="5" fontId="17" numFmtId="0" xfId="0" applyAlignment="1" applyFont="1">
      <alignment horizontal="left" shrinkToFit="0" vertical="bottom" wrapText="1"/>
    </xf>
    <xf borderId="2" fillId="0" fontId="18" numFmtId="4" xfId="0" applyAlignment="1" applyBorder="1" applyFont="1" applyNumberFormat="1">
      <alignment vertical="bottom"/>
    </xf>
    <xf borderId="2" fillId="0" fontId="19" numFmtId="169" xfId="0" applyAlignment="1" applyBorder="1" applyFont="1" applyNumberFormat="1">
      <alignment horizontal="center" shrinkToFit="0" vertical="bottom" wrapText="1"/>
    </xf>
    <xf borderId="11" fillId="0" fontId="16" numFmtId="169" xfId="0" applyAlignment="1" applyBorder="1" applyFont="1" applyNumberFormat="1">
      <alignment horizontal="center" shrinkToFit="0" vertical="bottom" wrapText="1"/>
    </xf>
    <xf borderId="0" fillId="0" fontId="16" numFmtId="169" xfId="0" applyAlignment="1" applyFont="1" applyNumberFormat="1">
      <alignment horizontal="center" shrinkToFit="0" vertical="bottom" wrapText="1"/>
    </xf>
    <xf borderId="5" fillId="0" fontId="11" numFmtId="169" xfId="0" applyAlignment="1" applyBorder="1" applyFont="1" applyNumberFormat="1">
      <alignment horizontal="center" shrinkToFit="0" vertical="bottom" wrapText="1"/>
    </xf>
    <xf borderId="0" fillId="0" fontId="11" numFmtId="169" xfId="0" applyAlignment="1" applyFont="1" applyNumberFormat="1">
      <alignment horizontal="center" shrinkToFit="0" vertical="bottom" wrapText="1"/>
    </xf>
    <xf borderId="0" fillId="5" fontId="12" numFmtId="1" xfId="0" applyAlignment="1" applyFont="1" applyNumberFormat="1">
      <alignment horizontal="left" shrinkToFit="0" vertical="bottom" wrapText="1"/>
    </xf>
    <xf borderId="6" fillId="6" fontId="12" numFmtId="0" xfId="0" applyAlignment="1" applyBorder="1" applyFont="1">
      <alignment shrinkToFit="0" vertical="bottom" wrapText="1"/>
    </xf>
    <xf borderId="7" fillId="0" fontId="11" numFmtId="169" xfId="0" applyAlignment="1" applyBorder="1" applyFont="1" applyNumberFormat="1">
      <alignment horizontal="center" shrinkToFit="0" vertical="bottom" wrapText="1"/>
    </xf>
    <xf borderId="2" fillId="0" fontId="11" numFmtId="169" xfId="0" applyAlignment="1" applyBorder="1" applyFont="1" applyNumberFormat="1">
      <alignment horizontal="center" shrinkToFit="0" vertical="bottom" wrapText="1"/>
    </xf>
    <xf borderId="0" fillId="5" fontId="25" numFmtId="1" xfId="0" applyAlignment="1" applyFont="1" applyNumberFormat="1">
      <alignment horizontal="left" shrinkToFit="0" vertical="bottom" wrapText="1"/>
    </xf>
    <xf borderId="7" fillId="0" fontId="18" numFmtId="165" xfId="0" applyAlignment="1" applyBorder="1" applyFont="1" applyNumberFormat="1">
      <alignment vertical="bottom"/>
    </xf>
    <xf borderId="7" fillId="0" fontId="3" numFmtId="169" xfId="0" applyAlignment="1" applyBorder="1" applyFont="1" applyNumberFormat="1">
      <alignment horizontal="center" shrinkToFit="0" vertical="bottom" wrapText="1"/>
    </xf>
    <xf borderId="2" fillId="0" fontId="3" numFmtId="169" xfId="0" applyAlignment="1" applyBorder="1" applyFont="1" applyNumberFormat="1">
      <alignment horizontal="center" shrinkToFit="0" vertical="bottom" wrapText="1"/>
    </xf>
    <xf borderId="0" fillId="5" fontId="12" numFmtId="165" xfId="0" applyAlignment="1" applyFont="1" applyNumberFormat="1">
      <alignment horizontal="left" shrinkToFit="0" vertical="bottom" wrapText="1"/>
    </xf>
    <xf borderId="0" fillId="0" fontId="11" numFmtId="4" xfId="0" applyAlignment="1" applyFont="1" applyNumberFormat="1">
      <alignment horizontal="center" shrinkToFit="0" vertical="bottom" wrapText="1"/>
    </xf>
    <xf borderId="6" fillId="2" fontId="2" numFmtId="0" xfId="0" applyAlignment="1" applyBorder="1" applyFont="1">
      <alignment shrinkToFit="0" vertical="bottom" wrapText="1"/>
    </xf>
    <xf borderId="7" fillId="2" fontId="26" numFmtId="0" xfId="0" applyAlignment="1" applyBorder="1" applyFont="1">
      <alignment horizontal="center" shrinkToFit="0" vertical="bottom" wrapText="1"/>
    </xf>
    <xf borderId="7" fillId="2" fontId="2" numFmtId="0" xfId="0" applyAlignment="1" applyBorder="1" applyFont="1">
      <alignment horizontal="center" shrinkToFit="0" vertical="bottom" wrapText="1"/>
    </xf>
    <xf borderId="7" fillId="2" fontId="2" numFmtId="0" xfId="0" applyAlignment="1" applyBorder="1" applyFont="1">
      <alignment horizontal="center" vertical="bottom"/>
    </xf>
    <xf borderId="0" fillId="5" fontId="10" numFmtId="3" xfId="0" applyAlignment="1" applyFont="1" applyNumberFormat="1">
      <alignment horizontal="left" shrinkToFit="0" vertical="bottom" wrapText="1"/>
    </xf>
    <xf borderId="5" fillId="0" fontId="27" numFmtId="170" xfId="0" applyAlignment="1" applyBorder="1" applyFont="1" applyNumberFormat="1">
      <alignment horizontal="center" vertical="center"/>
    </xf>
    <xf borderId="7" fillId="0" fontId="7" numFmtId="0" xfId="0" applyBorder="1" applyFont="1"/>
    <xf borderId="7" fillId="0" fontId="27" numFmtId="170" xfId="0" applyAlignment="1" applyBorder="1" applyFont="1" applyNumberFormat="1">
      <alignment horizontal="center" vertical="center"/>
    </xf>
    <xf borderId="7" fillId="0" fontId="11" numFmtId="170" xfId="0" applyAlignment="1" applyBorder="1" applyFont="1" applyNumberFormat="1">
      <alignment horizontal="center" shrinkToFit="0" vertical="center" wrapText="1"/>
    </xf>
    <xf borderId="0" fillId="0" fontId="27" numFmtId="170" xfId="0" applyAlignment="1" applyFont="1" applyNumberFormat="1">
      <alignment horizontal="center" vertical="center"/>
    </xf>
    <xf borderId="2" fillId="0" fontId="11" numFmtId="170" xfId="0" applyAlignment="1" applyBorder="1" applyFont="1" applyNumberFormat="1">
      <alignment horizontal="center" shrinkToFit="0" vertical="center" wrapText="1"/>
    </xf>
    <xf borderId="0" fillId="5" fontId="5" numFmtId="170" xfId="0" applyAlignment="1" applyFont="1" applyNumberFormat="1">
      <alignment horizontal="left" shrinkToFit="0" vertical="bottom" wrapText="1"/>
    </xf>
    <xf borderId="2" fillId="4" fontId="11" numFmtId="0" xfId="0" applyAlignment="1" applyBorder="1" applyFont="1">
      <alignment shrinkToFit="0" vertical="bottom" wrapText="1"/>
    </xf>
    <xf borderId="2" fillId="0" fontId="27" numFmtId="170" xfId="0" applyAlignment="1" applyBorder="1" applyFont="1" applyNumberFormat="1">
      <alignment horizontal="center" vertical="center"/>
    </xf>
    <xf borderId="2" fillId="0" fontId="11" numFmtId="170" xfId="0" applyAlignment="1" applyBorder="1" applyFont="1" applyNumberFormat="1">
      <alignment horizontal="center" vertical="center"/>
    </xf>
    <xf borderId="7" fillId="2" fontId="4" numFmtId="0" xfId="0" applyAlignment="1" applyBorder="1" applyFont="1">
      <alignment vertical="bottom"/>
    </xf>
    <xf borderId="7" fillId="0" fontId="27" numFmtId="170" xfId="0" applyAlignment="1" applyBorder="1" applyFont="1" applyNumberFormat="1">
      <alignment horizontal="center" vertical="bottom"/>
    </xf>
    <xf borderId="7" fillId="0" fontId="1" numFmtId="170" xfId="0" applyAlignment="1" applyBorder="1" applyFont="1" applyNumberFormat="1">
      <alignment horizontal="center" vertical="bottom"/>
    </xf>
    <xf borderId="2" fillId="0" fontId="27" numFmtId="170" xfId="0" applyAlignment="1" applyBorder="1" applyFont="1" applyNumberFormat="1">
      <alignment horizontal="center" vertical="bottom"/>
    </xf>
    <xf borderId="2" fillId="0" fontId="1" numFmtId="170" xfId="0" applyAlignment="1" applyBorder="1" applyFont="1" applyNumberFormat="1">
      <alignment horizontal="center" vertical="bottom"/>
    </xf>
    <xf borderId="0" fillId="0" fontId="1" numFmtId="3" xfId="0" applyAlignment="1" applyFont="1" applyNumberFormat="1">
      <alignment horizontal="right" vertical="bottom"/>
    </xf>
    <xf borderId="6" fillId="7" fontId="11" numFmtId="0" xfId="0" applyAlignment="1" applyBorder="1" applyFont="1">
      <alignment shrinkToFit="0" vertical="bottom" wrapText="1"/>
    </xf>
    <xf borderId="0" fillId="0" fontId="4" numFmtId="0" xfId="0" applyAlignment="1" applyFont="1">
      <alignment horizontal="center" vertical="bottom"/>
    </xf>
    <xf borderId="0" fillId="0" fontId="1" numFmtId="0" xfId="0" applyAlignment="1" applyFont="1">
      <alignment horizontal="center" vertical="bottom"/>
    </xf>
    <xf borderId="0" fillId="5" fontId="5" numFmtId="4" xfId="0" applyAlignment="1" applyFont="1" applyNumberFormat="1">
      <alignment horizontal="left" shrinkToFit="0" vertical="bottom" wrapText="1"/>
    </xf>
    <xf borderId="5" fillId="0" fontId="4" numFmtId="0" xfId="0" applyAlignment="1" applyBorder="1" applyFont="1">
      <alignment horizontal="center" vertical="bottom"/>
    </xf>
    <xf borderId="0" fillId="0" fontId="6" numFmtId="0" xfId="0" applyAlignment="1" applyFont="1">
      <alignment horizontal="center" shrinkToFit="0" vertical="bottom" wrapText="1"/>
    </xf>
    <xf borderId="0" fillId="5" fontId="8" numFmtId="4" xfId="0" applyAlignment="1" applyFont="1" applyNumberFormat="1">
      <alignment horizontal="left" shrinkToFit="0" vertical="bottom" wrapText="1"/>
    </xf>
    <xf borderId="5" fillId="2" fontId="2" numFmtId="0" xfId="0" applyAlignment="1" applyBorder="1" applyFont="1">
      <alignment shrinkToFit="0" vertical="bottom" wrapText="1"/>
    </xf>
    <xf borderId="5" fillId="2" fontId="9" numFmtId="0" xfId="0" applyAlignment="1" applyBorder="1" applyFont="1">
      <alignment horizontal="center" shrinkToFit="0" vertical="bottom" wrapText="1"/>
    </xf>
    <xf borderId="5" fillId="2" fontId="2" numFmtId="0" xfId="0" applyAlignment="1" applyBorder="1" applyFont="1">
      <alignment horizontal="center" shrinkToFit="0" vertical="bottom" wrapText="1"/>
    </xf>
    <xf borderId="0" fillId="2" fontId="2" numFmtId="0" xfId="0" applyAlignment="1" applyFont="1">
      <alignment horizontal="center" vertical="bottom"/>
    </xf>
    <xf borderId="0" fillId="5" fontId="10" numFmtId="4" xfId="0" applyAlignment="1" applyFont="1" applyNumberFormat="1">
      <alignment horizontal="left" shrinkToFit="0" vertical="bottom" wrapText="1"/>
    </xf>
    <xf borderId="2" fillId="0" fontId="1" numFmtId="3" xfId="0" applyAlignment="1" applyBorder="1" applyFont="1" applyNumberFormat="1">
      <alignment horizontal="center" vertical="bottom"/>
    </xf>
    <xf borderId="2" fillId="0" fontId="1" numFmtId="0" xfId="0" applyAlignment="1" applyBorder="1" applyFont="1">
      <alignment horizontal="center"/>
    </xf>
    <xf borderId="0" fillId="5" fontId="12" numFmtId="4" xfId="0" applyAlignment="1" applyFont="1" applyNumberFormat="1">
      <alignment horizontal="left" shrinkToFit="0" vertical="bottom" wrapText="1"/>
    </xf>
    <xf borderId="2" fillId="0" fontId="1" numFmtId="0" xfId="0" applyBorder="1" applyFont="1"/>
    <xf borderId="5" fillId="0" fontId="1" numFmtId="1" xfId="0" applyAlignment="1" applyBorder="1" applyFont="1" applyNumberFormat="1">
      <alignment horizontal="center" vertical="bottom"/>
    </xf>
    <xf borderId="5" fillId="0" fontId="1" numFmtId="4" xfId="0" applyAlignment="1" applyBorder="1" applyFont="1" applyNumberFormat="1">
      <alignment horizontal="center" vertical="bottom"/>
    </xf>
    <xf borderId="5" fillId="0" fontId="4" numFmtId="1" xfId="0" applyAlignment="1" applyBorder="1" applyFont="1" applyNumberFormat="1">
      <alignment horizontal="center" vertical="bottom"/>
    </xf>
    <xf borderId="7" fillId="0" fontId="1" numFmtId="1" xfId="0" applyAlignment="1" applyBorder="1" applyFont="1" applyNumberFormat="1">
      <alignment horizontal="center" vertical="bottom"/>
    </xf>
    <xf borderId="7" fillId="0" fontId="1" numFmtId="165" xfId="0" applyAlignment="1" applyBorder="1" applyFont="1" applyNumberFormat="1">
      <alignment horizontal="center" vertical="bottom"/>
    </xf>
    <xf borderId="7" fillId="8" fontId="11" numFmtId="4" xfId="0" applyAlignment="1" applyBorder="1" applyFill="1" applyFont="1" applyNumberFormat="1">
      <alignment horizontal="center" shrinkToFit="0" vertical="bottom" wrapText="1"/>
    </xf>
    <xf borderId="0" fillId="0" fontId="1" numFmtId="165" xfId="0" applyAlignment="1" applyFont="1" applyNumberFormat="1">
      <alignment horizontal="center" vertical="bottom"/>
    </xf>
    <xf borderId="0" fillId="0" fontId="1" numFmtId="10" xfId="0" applyAlignment="1" applyFont="1" applyNumberFormat="1">
      <alignment horizontal="center" vertical="bottom"/>
    </xf>
    <xf borderId="0" fillId="0" fontId="1" numFmtId="4" xfId="0" applyAlignment="1" applyFont="1" applyNumberFormat="1">
      <alignment horizontal="center" vertical="bottom"/>
    </xf>
    <xf borderId="0" fillId="0" fontId="4" numFmtId="10" xfId="0" applyAlignment="1" applyFont="1" applyNumberFormat="1">
      <alignment horizontal="center" vertical="bottom"/>
    </xf>
    <xf borderId="9" fillId="0" fontId="1" numFmtId="4" xfId="0" applyAlignment="1" applyBorder="1" applyFont="1" applyNumberFormat="1">
      <alignment horizontal="center" vertical="bottom"/>
    </xf>
    <xf borderId="7" fillId="0" fontId="1" numFmtId="4" xfId="0" applyAlignment="1" applyBorder="1" applyFont="1" applyNumberFormat="1">
      <alignment horizontal="center" vertical="bottom"/>
    </xf>
    <xf borderId="7" fillId="0" fontId="4" numFmtId="4" xfId="0" applyAlignment="1" applyBorder="1" applyFont="1" applyNumberFormat="1">
      <alignment horizontal="center" vertical="bottom"/>
    </xf>
    <xf borderId="7" fillId="5" fontId="1" numFmtId="166" xfId="0" applyAlignment="1" applyBorder="1" applyFont="1" applyNumberFormat="1">
      <alignment horizontal="center" vertical="bottom"/>
    </xf>
    <xf borderId="0" fillId="5" fontId="15" numFmtId="4" xfId="0" applyAlignment="1" applyFont="1" applyNumberFormat="1">
      <alignment horizontal="left" shrinkToFit="0" vertical="bottom" wrapText="1"/>
    </xf>
    <xf borderId="5" fillId="0" fontId="1" numFmtId="10" xfId="0" applyAlignment="1" applyBorder="1" applyFont="1" applyNumberFormat="1">
      <alignment horizontal="center" vertical="bottom"/>
    </xf>
    <xf borderId="5" fillId="0" fontId="1" numFmtId="0" xfId="0" applyAlignment="1" applyBorder="1" applyFont="1">
      <alignment horizontal="center" vertical="bottom"/>
    </xf>
    <xf borderId="5" fillId="0" fontId="4" numFmtId="10" xfId="0" applyAlignment="1" applyBorder="1" applyFont="1" applyNumberFormat="1">
      <alignment horizontal="center" vertical="bottom"/>
    </xf>
    <xf borderId="7" fillId="5" fontId="1" numFmtId="3" xfId="0" applyAlignment="1" applyBorder="1" applyFont="1" applyNumberFormat="1">
      <alignment horizontal="center" vertical="bottom"/>
    </xf>
    <xf borderId="0" fillId="0" fontId="1" numFmtId="3" xfId="0" applyAlignment="1" applyFont="1" applyNumberFormat="1">
      <alignment horizontal="center" vertical="bottom"/>
    </xf>
    <xf borderId="0" fillId="0" fontId="4" numFmtId="3" xfId="0" applyAlignment="1" applyFont="1" applyNumberFormat="1">
      <alignment horizontal="center" vertical="bottom"/>
    </xf>
    <xf borderId="12" fillId="0" fontId="11" numFmtId="9" xfId="0" applyAlignment="1" applyBorder="1" applyFont="1" applyNumberFormat="1">
      <alignment horizontal="center" shrinkToFit="0" vertical="bottom" wrapText="1"/>
    </xf>
    <xf borderId="5" fillId="0" fontId="1" numFmtId="2" xfId="0" applyAlignment="1" applyBorder="1" applyFont="1" applyNumberFormat="1">
      <alignment horizontal="center" vertical="bottom"/>
    </xf>
    <xf borderId="5" fillId="0" fontId="1" numFmtId="3" xfId="0" applyAlignment="1" applyBorder="1" applyFont="1" applyNumberFormat="1">
      <alignment horizontal="center" vertical="bottom"/>
    </xf>
    <xf borderId="5" fillId="0" fontId="4" numFmtId="2" xfId="0" applyAlignment="1" applyBorder="1" applyFont="1" applyNumberFormat="1">
      <alignment horizontal="center" vertical="bottom"/>
    </xf>
    <xf borderId="2" fillId="0" fontId="1" numFmtId="4" xfId="0" applyAlignment="1" applyBorder="1" applyFont="1" applyNumberFormat="1">
      <alignment horizontal="center" vertical="bottom"/>
    </xf>
    <xf borderId="2" fillId="0" fontId="4" numFmtId="4" xfId="0" applyAlignment="1" applyBorder="1" applyFont="1" applyNumberFormat="1">
      <alignment horizontal="center" vertical="bottom"/>
    </xf>
    <xf borderId="2" fillId="0" fontId="16" numFmtId="10" xfId="0" applyAlignment="1" applyBorder="1" applyFont="1" applyNumberFormat="1">
      <alignment horizontal="center" shrinkToFit="0" vertical="bottom" wrapText="1"/>
    </xf>
    <xf borderId="0" fillId="5" fontId="17" numFmtId="4" xfId="0" applyAlignment="1" applyFont="1" applyNumberFormat="1">
      <alignment horizontal="left" shrinkToFit="0" vertical="bottom" wrapText="1"/>
    </xf>
    <xf borderId="2" fillId="0" fontId="28" numFmtId="4" xfId="0" applyAlignment="1" applyBorder="1" applyFont="1" applyNumberFormat="1">
      <alignment horizontal="center" vertical="bottom"/>
    </xf>
    <xf borderId="11" fillId="0" fontId="1" numFmtId="4" xfId="0" applyAlignment="1" applyBorder="1" applyFont="1" applyNumberFormat="1">
      <alignment horizontal="center" vertical="bottom"/>
    </xf>
    <xf borderId="11" fillId="0" fontId="4" numFmtId="4" xfId="0" applyAlignment="1" applyBorder="1" applyFont="1" applyNumberFormat="1">
      <alignment horizontal="center" vertical="bottom"/>
    </xf>
    <xf borderId="0" fillId="5" fontId="21" numFmtId="4" xfId="0" applyAlignment="1" applyFont="1" applyNumberFormat="1">
      <alignment horizontal="left" shrinkToFit="0" vertical="bottom" wrapText="1"/>
    </xf>
    <xf borderId="5" fillId="0" fontId="4" numFmtId="4" xfId="0" applyAlignment="1" applyBorder="1" applyFont="1" applyNumberFormat="1">
      <alignment horizontal="center" vertical="bottom"/>
    </xf>
    <xf borderId="5" fillId="0" fontId="11" numFmtId="4" xfId="0" applyAlignment="1" applyBorder="1" applyFont="1" applyNumberFormat="1">
      <alignment horizontal="center" shrinkToFit="0" vertical="bottom" wrapText="1"/>
    </xf>
    <xf borderId="7" fillId="0" fontId="3" numFmtId="4" xfId="0" applyAlignment="1" applyBorder="1" applyFont="1" applyNumberFormat="1">
      <alignment horizontal="center" shrinkToFit="0" vertical="bottom" wrapText="1"/>
    </xf>
    <xf borderId="0" fillId="5" fontId="29" numFmtId="4" xfId="0" applyAlignment="1" applyFont="1" applyNumberFormat="1">
      <alignment horizontal="center" shrinkToFit="0" vertical="bottom" wrapText="1"/>
    </xf>
    <xf borderId="13" fillId="4" fontId="11" numFmtId="0" xfId="0" applyAlignment="1" applyBorder="1" applyFont="1">
      <alignment shrinkToFit="0" vertical="bottom" wrapText="1"/>
    </xf>
    <xf borderId="12" fillId="0" fontId="27" numFmtId="170" xfId="0" applyAlignment="1" applyBorder="1" applyFont="1" applyNumberFormat="1">
      <alignment horizontal="center" vertical="center"/>
    </xf>
    <xf borderId="4" fillId="0" fontId="7" numFmtId="0" xfId="0" applyBorder="1" applyFont="1"/>
    <xf borderId="9" fillId="0" fontId="7" numFmtId="0" xfId="0" applyBorder="1" applyFont="1"/>
    <xf borderId="12" fillId="4" fontId="11" numFmtId="0" xfId="0" applyAlignment="1" applyBorder="1" applyFont="1">
      <alignment shrinkToFit="0" vertical="bottom" wrapText="1"/>
    </xf>
    <xf borderId="7" fillId="2" fontId="4" numFmtId="0" xfId="0" applyAlignment="1" applyBorder="1" applyFont="1">
      <alignment horizontal="center" vertical="bottom"/>
    </xf>
    <xf borderId="0" fillId="0" fontId="1" numFmtId="171" xfId="0" applyAlignment="1" applyFont="1" applyNumberFormat="1">
      <alignment shrinkToFit="0" wrapText="1"/>
    </xf>
    <xf borderId="0" fillId="0" fontId="1" numFmtId="171" xfId="0" applyFont="1" applyNumberFormat="1"/>
    <xf borderId="2" fillId="2" fontId="30" numFmtId="171" xfId="0" applyAlignment="1" applyBorder="1" applyFont="1" applyNumberFormat="1">
      <alignment horizontal="center" shrinkToFit="0" wrapText="1"/>
    </xf>
    <xf borderId="2" fillId="2" fontId="30" numFmtId="171" xfId="0" applyAlignment="1" applyBorder="1" applyFont="1" applyNumberFormat="1">
      <alignment horizontal="center"/>
    </xf>
    <xf borderId="12" fillId="2" fontId="30" numFmtId="0" xfId="0" applyBorder="1" applyFont="1"/>
    <xf borderId="2" fillId="2" fontId="30" numFmtId="0" xfId="0" applyAlignment="1" applyBorder="1" applyFont="1">
      <alignment horizontal="left"/>
    </xf>
    <xf borderId="12" fillId="2" fontId="30" numFmtId="171" xfId="0" applyAlignment="1" applyBorder="1" applyFont="1" applyNumberFormat="1">
      <alignment horizontal="center" shrinkToFit="0" wrapText="1"/>
    </xf>
    <xf borderId="2" fillId="9" fontId="29" numFmtId="0" xfId="0" applyAlignment="1" applyBorder="1" applyFill="1" applyFont="1">
      <alignment vertical="bottom"/>
    </xf>
    <xf borderId="2" fillId="0" fontId="1" numFmtId="3" xfId="0" applyAlignment="1" applyBorder="1" applyFont="1" applyNumberFormat="1">
      <alignment horizontal="right" vertical="bottom"/>
    </xf>
    <xf borderId="2" fillId="0" fontId="1" numFmtId="9" xfId="0" applyAlignment="1" applyBorder="1" applyFont="1" applyNumberFormat="1">
      <alignment horizontal="right" vertical="bottom"/>
    </xf>
    <xf borderId="2" fillId="9" fontId="28" numFmtId="0" xfId="0" applyBorder="1" applyFont="1"/>
    <xf borderId="2" fillId="9" fontId="1" numFmtId="171" xfId="0" applyAlignment="1" applyBorder="1" applyFont="1" applyNumberFormat="1">
      <alignment shrinkToFit="0" wrapText="1"/>
    </xf>
    <xf borderId="2" fillId="9" fontId="1" numFmtId="171" xfId="0" applyBorder="1" applyFont="1" applyNumberFormat="1"/>
    <xf borderId="2" fillId="0" fontId="1" numFmtId="3" xfId="0" applyAlignment="1" applyBorder="1" applyFont="1" applyNumberFormat="1">
      <alignment vertical="bottom"/>
    </xf>
    <xf borderId="2" fillId="0" fontId="1" numFmtId="171" xfId="0" applyAlignment="1" applyBorder="1" applyFont="1" applyNumberFormat="1">
      <alignment shrinkToFit="0" wrapText="1"/>
    </xf>
    <xf borderId="2" fillId="0" fontId="1" numFmtId="171" xfId="0" applyBorder="1" applyFont="1" applyNumberFormat="1"/>
    <xf borderId="0" fillId="0" fontId="1" numFmtId="0" xfId="0" applyFont="1"/>
    <xf borderId="0" fillId="0" fontId="28" numFmtId="0" xfId="0" applyFont="1"/>
    <xf borderId="2" fillId="0" fontId="28" numFmtId="0" xfId="0" applyBorder="1" applyFont="1"/>
    <xf borderId="2" fillId="0" fontId="28" numFmtId="171" xfId="0" applyAlignment="1" applyBorder="1" applyFont="1" applyNumberFormat="1">
      <alignment shrinkToFit="0" wrapText="1"/>
    </xf>
    <xf borderId="0" fillId="0" fontId="28" numFmtId="0" xfId="0" applyAlignment="1" applyFont="1">
      <alignment vertical="bottom"/>
    </xf>
    <xf borderId="0" fillId="0" fontId="28" numFmtId="3" xfId="0" applyAlignment="1" applyFont="1" applyNumberFormat="1">
      <alignment vertical="bottom"/>
    </xf>
    <xf borderId="0" fillId="0" fontId="1" numFmtId="3" xfId="0" applyAlignment="1" applyFont="1" applyNumberFormat="1">
      <alignment vertical="bottom"/>
    </xf>
    <xf borderId="0" fillId="0" fontId="1" numFmtId="0" xfId="0" applyAlignment="1" applyFont="1">
      <alignment horizontal="right" vertical="bottom"/>
    </xf>
    <xf borderId="0" fillId="0" fontId="1" numFmtId="171" xfId="0" applyAlignment="1" applyFont="1" applyNumberFormat="1">
      <alignment vertical="bottom"/>
    </xf>
    <xf borderId="0" fillId="0" fontId="1" numFmtId="171" xfId="0" applyAlignment="1" applyFont="1" applyNumberFormat="1">
      <alignment horizontal="right" vertical="bottom"/>
    </xf>
    <xf borderId="0" fillId="0" fontId="28" numFmtId="171" xfId="0" applyFont="1" applyNumberFormat="1"/>
    <xf borderId="2" fillId="9" fontId="28" numFmtId="171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docs.google.com/document/d/1LOwcyeVKdZE_D3r5zqfRuMq-6t7yE8FzMuSzbOZ4-fU/edit" TargetMode="External"/><Relationship Id="rId10" Type="http://schemas.openxmlformats.org/officeDocument/2006/relationships/hyperlink" Target="https://dhsprogram.com/pubs/pdf/FR359/FR359.pdf" TargetMode="External"/><Relationship Id="rId13" Type="http://schemas.openxmlformats.org/officeDocument/2006/relationships/hyperlink" Target="https://docs.google.com/document/d/1LOwcyeVKdZE_D3r5zqfRuMq-6t7yE8FzMuSzbOZ4-fU/edit" TargetMode="External"/><Relationship Id="rId12" Type="http://schemas.openxmlformats.org/officeDocument/2006/relationships/hyperlink" Target="https://docs.google.com/document/d/1LOwcyeVKdZE_D3r5zqfRuMq-6t7yE8FzMuSzbOZ4-fU/edit" TargetMode="External"/><Relationship Id="rId1" Type="http://schemas.openxmlformats.org/officeDocument/2006/relationships/hyperlink" Target="https://www.developmentmedia.net/app/uploads/2021/03/The-Media-or-the-Message-Experimental-Evidence-on-Mass-Media-and-Modern-Contraception-Uptake-in-Burkina-Faso.pdf" TargetMode="External"/><Relationship Id="rId2" Type="http://schemas.openxmlformats.org/officeDocument/2006/relationships/hyperlink" Target="https://www.developmentmedia.net/app/uploads/2021/03/The-Media-or-the-Message-Experimental-Evidence-on-Mass-Media-and-Modern-Contraception-Uptake-in-Burkina-Faso.pdf" TargetMode="External"/><Relationship Id="rId3" Type="http://schemas.openxmlformats.org/officeDocument/2006/relationships/hyperlink" Target="https://www.guttmacher.org/fact-sheet/abortion-nigeria" TargetMode="External"/><Relationship Id="rId4" Type="http://schemas.openxmlformats.org/officeDocument/2006/relationships/hyperlink" Target="https://www.guttmacher.org/fact-sheet/abortion-nigeria" TargetMode="External"/><Relationship Id="rId9" Type="http://schemas.openxmlformats.org/officeDocument/2006/relationships/hyperlink" Target="https://www.google.com/url?q=https://www.ncbi.nlm.nih.gov/pmc/articles/PMC8351853/&amp;sa=D&amp;source=editors&amp;ust=1667407941768277&amp;usg=AOvVaw0VMi1J6_G3OKk8bb1UR1bv" TargetMode="External"/><Relationship Id="rId15" Type="http://schemas.openxmlformats.org/officeDocument/2006/relationships/hyperlink" Target="https://docs.google.com/document/d/1LOwcyeVKdZE_D3r5zqfRuMq-6t7yE8FzMuSzbOZ4-fU/edit" TargetMode="External"/><Relationship Id="rId14" Type="http://schemas.openxmlformats.org/officeDocument/2006/relationships/hyperlink" Target="https://docs.google.com/document/d/1LOwcyeVKdZE_D3r5zqfRuMq-6t7yE8FzMuSzbOZ4-fU/edit" TargetMode="External"/><Relationship Id="rId17" Type="http://schemas.openxmlformats.org/officeDocument/2006/relationships/hyperlink" Target="https://www.google.com/url?q=https://forum.effectivealtruism.org/posts/HbunzTyFPRwcYihg6/long-lasting-insecticide-treated-nets-usd3-340-per-life&amp;sa=D&amp;source=editors&amp;ust=1667407733904938&amp;usg=AOvVaw1a0PZX--IqtKlfo4_a_W2X" TargetMode="External"/><Relationship Id="rId16" Type="http://schemas.openxmlformats.org/officeDocument/2006/relationships/hyperlink" Target="https://docs.google.com/document/d/1LOwcyeVKdZE_D3r5zqfRuMq-6t7yE8FzMuSzbOZ4-fU/edit" TargetMode="External"/><Relationship Id="rId5" Type="http://schemas.openxmlformats.org/officeDocument/2006/relationships/hyperlink" Target="https://www.guttmacher.org/fact-sheet/abortion-nigeria" TargetMode="External"/><Relationship Id="rId6" Type="http://schemas.openxmlformats.org/officeDocument/2006/relationships/hyperlink" Target="https://www.healthynewbornnetwork.org/hnn-content/uploads/NIgeria-State-Profiles-Complete-Booklet.pdf" TargetMode="External"/><Relationship Id="rId18" Type="http://schemas.openxmlformats.org/officeDocument/2006/relationships/drawing" Target="../drawings/drawing2.xml"/><Relationship Id="rId7" Type="http://schemas.openxmlformats.org/officeDocument/2006/relationships/hyperlink" Target="https://www.healthynewbornnetwork.org/hnn-content/uploads/NIgeria-State-Profiles-Complete-Booklet.pdf" TargetMode="External"/><Relationship Id="rId8" Type="http://schemas.openxmlformats.org/officeDocument/2006/relationships/hyperlink" Target="https://www.google.com/url?q=https://fistulacare.org/archive/files/5/5.4/Nigeria_National_Strategy_2011-2015.pdf&amp;sa=D&amp;source=editors&amp;ust=1667407881494194&amp;usg=AOvVaw0XtxH80NqqBi8nA4ipUtib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37.88"/>
    <col customWidth="1" min="3" max="6" width="12.63"/>
  </cols>
  <sheetData>
    <row r="1">
      <c r="B1" s="1"/>
      <c r="F1" s="2"/>
    </row>
    <row r="2">
      <c r="B2" s="3" t="s">
        <v>0</v>
      </c>
      <c r="C2" s="4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>
      <c r="B3" s="8" t="s">
        <v>13</v>
      </c>
      <c r="C3" s="9">
        <f t="shared" ref="C3:C16" si="1">sum(D3:N3)</f>
        <v>48600000</v>
      </c>
      <c r="D3" s="10">
        <f>'Cost-effectivness model RCT sta'!D5</f>
        <v>5000000</v>
      </c>
      <c r="E3" s="10">
        <f>'Cost-effectivness model RCT sta'!E5</f>
        <v>5000000</v>
      </c>
      <c r="F3" s="11">
        <f>'Cost-effectivness model RCT sta'!F5</f>
        <v>6000000</v>
      </c>
      <c r="G3" s="10">
        <f>'Cost-effectivness mode re-airin'!D6</f>
        <v>5600000</v>
      </c>
      <c r="H3" s="10">
        <f>'Cost-effectivness mode re-airin'!E6</f>
        <v>3000000</v>
      </c>
      <c r="I3" s="10">
        <f>'Cost-effectivness mode re-airin'!F6</f>
        <v>3000000</v>
      </c>
      <c r="J3" s="10">
        <f>'Cost-effectivness mode re-airin'!G6</f>
        <v>5000000</v>
      </c>
      <c r="K3" s="10">
        <f>'Cost-effectivness mode re-airin'!H6</f>
        <v>4000000</v>
      </c>
      <c r="L3" s="10">
        <f>'Cost-effectivness mode re-airin'!I6</f>
        <v>4000000</v>
      </c>
      <c r="M3" s="10">
        <f>'Cost-effectivness mode re-airin'!J6</f>
        <v>2100000</v>
      </c>
      <c r="N3" s="10">
        <f>'Cost-effectivness mode re-airin'!K6</f>
        <v>5900000</v>
      </c>
    </row>
    <row r="4">
      <c r="B4" s="8" t="s">
        <v>14</v>
      </c>
      <c r="C4" s="9">
        <f t="shared" si="1"/>
        <v>35700000</v>
      </c>
      <c r="D4" s="10">
        <f>'Cost-effectivness model RCT sta'!D7</f>
        <v>3500000</v>
      </c>
      <c r="E4" s="10">
        <f>'Cost-effectivness model RCT sta'!E7</f>
        <v>3500000</v>
      </c>
      <c r="F4" s="11">
        <f>'Cost-effectivness model RCT sta'!F7</f>
        <v>4200000</v>
      </c>
      <c r="G4" s="10">
        <f>'Cost-effectivness mode re-airin'!D8</f>
        <v>5600000</v>
      </c>
      <c r="H4" s="10">
        <f>'Cost-effectivness mode re-airin'!E8</f>
        <v>2100000</v>
      </c>
      <c r="I4" s="10">
        <f>'Cost-effectivness mode re-airin'!F8</f>
        <v>2100000</v>
      </c>
      <c r="J4" s="10">
        <f>'Cost-effectivness mode re-airin'!G8</f>
        <v>3500000</v>
      </c>
      <c r="K4" s="10">
        <f>'Cost-effectivness mode re-airin'!H8</f>
        <v>2800000</v>
      </c>
      <c r="L4" s="10">
        <f>'Cost-effectivness mode re-airin'!I8</f>
        <v>2800000</v>
      </c>
      <c r="M4" s="10">
        <f>'Cost-effectivness mode re-airin'!J8</f>
        <v>1470000</v>
      </c>
      <c r="N4" s="10">
        <f>'Cost-effectivness mode re-airin'!K8</f>
        <v>4130000</v>
      </c>
    </row>
    <row r="5">
      <c r="B5" s="8" t="s">
        <v>15</v>
      </c>
      <c r="C5" s="9">
        <f t="shared" si="1"/>
        <v>12495000</v>
      </c>
      <c r="D5" s="10">
        <f>'Cost-effectivness model RCT sta'!D9</f>
        <v>1225000</v>
      </c>
      <c r="E5" s="10">
        <f>'Cost-effectivness model RCT sta'!E9</f>
        <v>1225000</v>
      </c>
      <c r="F5" s="11">
        <f>'Cost-effectivness model RCT sta'!F9</f>
        <v>1470000</v>
      </c>
      <c r="G5" s="10">
        <f>'Cost-effectivness mode re-airin'!D10</f>
        <v>1960000</v>
      </c>
      <c r="H5" s="10">
        <f>'Cost-effectivness mode re-airin'!E10</f>
        <v>735000</v>
      </c>
      <c r="I5" s="10">
        <f>'Cost-effectivness mode re-airin'!F10</f>
        <v>735000</v>
      </c>
      <c r="J5" s="10">
        <f>'Cost-effectivness mode re-airin'!G10</f>
        <v>1225000</v>
      </c>
      <c r="K5" s="10">
        <f>'Cost-effectivness mode re-airin'!H10</f>
        <v>980000</v>
      </c>
      <c r="L5" s="10">
        <f>'Cost-effectivness mode re-airin'!I10</f>
        <v>980000</v>
      </c>
      <c r="M5" s="10">
        <f>'Cost-effectivness mode re-airin'!J10</f>
        <v>514500</v>
      </c>
      <c r="N5" s="10">
        <f>'Cost-effectivness mode re-airin'!K10</f>
        <v>1445500</v>
      </c>
    </row>
    <row r="6">
      <c r="B6" s="8" t="s">
        <v>16</v>
      </c>
      <c r="C6" s="9">
        <f t="shared" si="1"/>
        <v>419806.52</v>
      </c>
      <c r="D6" s="10">
        <f>'Cost-effectivness model RCT sta'!D19</f>
        <v>39102</v>
      </c>
      <c r="E6" s="10">
        <f>'Cost-effectivness model RCT sta'!E19</f>
        <v>47481</v>
      </c>
      <c r="F6" s="11">
        <f>'Cost-effectivness model RCT sta'!F19</f>
        <v>60328.8</v>
      </c>
      <c r="G6" s="10">
        <f>'Cost-effectivness mode re-airin'!D20</f>
        <v>80438.4</v>
      </c>
      <c r="H6" s="10">
        <f>'Cost-effectivness mode re-airin'!E20</f>
        <v>30164.4</v>
      </c>
      <c r="I6" s="10">
        <f>'Cost-effectivness mode re-airin'!F20</f>
        <v>23740.5</v>
      </c>
      <c r="J6" s="10">
        <f>'Cost-effectivness mode re-airin'!G20</f>
        <v>62842.5</v>
      </c>
      <c r="K6" s="10">
        <f>'Cost-effectivness mode re-airin'!H20</f>
        <v>24206</v>
      </c>
      <c r="L6" s="10">
        <f>'Cost-effectivness mode re-airin'!I20</f>
        <v>20482</v>
      </c>
      <c r="M6" s="10">
        <f>'Cost-effectivness mode re-airin'!J20</f>
        <v>4105.71</v>
      </c>
      <c r="N6" s="10">
        <f>'Cost-effectivness mode re-airin'!K20</f>
        <v>26915.21</v>
      </c>
    </row>
    <row r="7">
      <c r="B7" s="8" t="s">
        <v>17</v>
      </c>
      <c r="C7" s="9">
        <f t="shared" si="1"/>
        <v>240377.9848</v>
      </c>
      <c r="D7" s="10">
        <f>'Cost-effectivness model RCT sta'!D27</f>
        <v>35637.32699</v>
      </c>
      <c r="E7" s="10">
        <f>'Cost-effectivness model RCT sta'!E27</f>
        <v>28389.05709</v>
      </c>
      <c r="F7" s="11">
        <f>'Cost-effectivness model RCT sta'!F27</f>
        <v>27308.34658</v>
      </c>
      <c r="G7" s="10">
        <f>'Cost-effectivness mode re-airin'!D28</f>
        <v>39963.43402</v>
      </c>
      <c r="H7" s="10">
        <f>'Cost-effectivness mode re-airin'!E28</f>
        <v>14986.28776</v>
      </c>
      <c r="I7" s="10">
        <f>'Cost-effectivness mode re-airin'!F28</f>
        <v>10545.9062</v>
      </c>
      <c r="J7" s="10">
        <f>'Cost-effectivness mode re-airin'!G28</f>
        <v>17576.51033</v>
      </c>
      <c r="K7" s="10">
        <f>'Cost-effectivness mode re-airin'!H28</f>
        <v>17717.99308</v>
      </c>
      <c r="L7" s="10">
        <f>'Cost-effectivness mode re-airin'!I28</f>
        <v>19731.40138</v>
      </c>
      <c r="M7" s="10">
        <f>'Cost-effectivness mode re-airin'!J28</f>
        <v>7995.271958</v>
      </c>
      <c r="N7" s="10">
        <f>'Cost-effectivness mode re-airin'!K28</f>
        <v>20526.44944</v>
      </c>
    </row>
    <row r="8">
      <c r="B8" s="8" t="s">
        <v>18</v>
      </c>
      <c r="C8" s="9">
        <f t="shared" si="1"/>
        <v>32156.69654</v>
      </c>
      <c r="D8" s="10">
        <f>'Cost-effectivness model RCT sta'!D32</f>
        <v>4632.852509</v>
      </c>
      <c r="E8" s="10">
        <f>'Cost-effectivness model RCT sta'!E32</f>
        <v>3974.467993</v>
      </c>
      <c r="F8" s="11">
        <f>'Cost-effectivness model RCT sta'!F32</f>
        <v>3823.168521</v>
      </c>
      <c r="G8" s="10">
        <f>'Cost-effectivness mode re-airin'!D33</f>
        <v>5195.246423</v>
      </c>
      <c r="H8" s="10">
        <f>'Cost-effectivness mode re-airin'!E33</f>
        <v>1648.491653</v>
      </c>
      <c r="I8" s="10">
        <f>'Cost-effectivness mode re-airin'!F33</f>
        <v>1160.049682</v>
      </c>
      <c r="J8" s="10">
        <f>'Cost-effectivness mode re-airin'!G33</f>
        <v>1933.416137</v>
      </c>
      <c r="K8" s="10">
        <f>'Cost-effectivness mode re-airin'!H33</f>
        <v>3012.058824</v>
      </c>
      <c r="L8" s="10">
        <f>'Cost-effectivness mode re-airin'!I33</f>
        <v>3354.338235</v>
      </c>
      <c r="M8" s="10">
        <f>'Cost-effectivness mode re-airin'!J33</f>
        <v>959.432635</v>
      </c>
      <c r="N8" s="10">
        <f>'Cost-effectivness mode re-airin'!K33</f>
        <v>2463.173932</v>
      </c>
    </row>
    <row r="9">
      <c r="B9" s="8" t="s">
        <v>19</v>
      </c>
      <c r="C9" s="9">
        <f t="shared" si="1"/>
        <v>12862.67862</v>
      </c>
      <c r="D9" s="10">
        <f>'Cost-effectivness model RCT sta'!D33</f>
        <v>1853.141003</v>
      </c>
      <c r="E9" s="10">
        <f>'Cost-effectivness model RCT sta'!E33</f>
        <v>1589.787197</v>
      </c>
      <c r="F9" s="11">
        <f>'Cost-effectivness model RCT sta'!F33</f>
        <v>1529.267409</v>
      </c>
      <c r="G9" s="10">
        <f>'Cost-effectivness mode re-airin'!D34</f>
        <v>2078.098569</v>
      </c>
      <c r="H9" s="10">
        <f>'Cost-effectivness mode re-airin'!E34</f>
        <v>659.3966614</v>
      </c>
      <c r="I9" s="10">
        <f>'Cost-effectivness mode re-airin'!F34</f>
        <v>464.0198728</v>
      </c>
      <c r="J9" s="10">
        <f>'Cost-effectivness mode re-airin'!G34</f>
        <v>773.3664547</v>
      </c>
      <c r="K9" s="10">
        <f>'Cost-effectivness mode re-airin'!H34</f>
        <v>1204.823529</v>
      </c>
      <c r="L9" s="10">
        <f>'Cost-effectivness mode re-airin'!I34</f>
        <v>1341.735294</v>
      </c>
      <c r="M9" s="10">
        <f>'Cost-effectivness mode re-airin'!J34</f>
        <v>383.773054</v>
      </c>
      <c r="N9" s="10">
        <f>'Cost-effectivness mode re-airin'!K34</f>
        <v>985.2695729</v>
      </c>
    </row>
    <row r="10">
      <c r="B10" s="8" t="s">
        <v>20</v>
      </c>
      <c r="C10" s="9">
        <f t="shared" si="1"/>
        <v>948.9766763</v>
      </c>
      <c r="D10" s="10">
        <f>'Cost-effectivness model RCT sta'!D39</f>
        <v>126.4350384</v>
      </c>
      <c r="E10" s="10">
        <f>'Cost-effectivness model RCT sta'!E39</f>
        <v>106.6550211</v>
      </c>
      <c r="F10" s="11">
        <f>'Cost-effectivness model RCT sta'!F39</f>
        <v>111.4933874</v>
      </c>
      <c r="G10" s="10">
        <f>'Cost-effectivness mode re-airin'!D40</f>
        <v>154.2936061</v>
      </c>
      <c r="H10" s="10">
        <f>'Cost-effectivness mode re-airin'!E40</f>
        <v>47.19086358</v>
      </c>
      <c r="I10" s="10">
        <f>'Cost-effectivness mode re-airin'!F40</f>
        <v>45.02290724</v>
      </c>
      <c r="J10" s="10">
        <f>'Cost-effectivness mode re-airin'!G40</f>
        <v>71.76064909</v>
      </c>
      <c r="K10" s="10">
        <f>'Cost-effectivness mode re-airin'!H40</f>
        <v>66.52399856</v>
      </c>
      <c r="L10" s="10">
        <f>'Cost-effectivness mode re-airin'!I40</f>
        <v>107.3388235</v>
      </c>
      <c r="M10" s="10">
        <f>'Cost-effectivness mode re-airin'!J40</f>
        <v>29.9310181</v>
      </c>
      <c r="N10" s="10">
        <f>'Cost-effectivness mode re-airin'!K40</f>
        <v>82.33136312</v>
      </c>
    </row>
    <row r="11">
      <c r="B11" s="8" t="s">
        <v>21</v>
      </c>
      <c r="C11" s="9">
        <f t="shared" si="1"/>
        <v>9372.192744</v>
      </c>
      <c r="D11" s="10">
        <f>'Cost-effectivness model RCT sta'!D51</f>
        <v>1103.515532</v>
      </c>
      <c r="E11" s="10">
        <f>'Cost-effectivness model RCT sta'!E51</f>
        <v>879.0716951</v>
      </c>
      <c r="F11" s="11">
        <f>'Cost-effectivness model RCT sta'!F51</f>
        <v>613.4798213</v>
      </c>
      <c r="G11" s="10">
        <f>'Cost-effectivness mode re-airin'!D52</f>
        <v>1346.663022</v>
      </c>
      <c r="H11" s="10">
        <f>'Cost-effectivness mode re-airin'!E52</f>
        <v>336.6657556</v>
      </c>
      <c r="I11" s="10">
        <f>'Cost-effectivness mode re-airin'!F52</f>
        <v>236.9129391</v>
      </c>
      <c r="J11" s="10">
        <f>'Cost-effectivness mode re-airin'!G52</f>
        <v>394.8548985</v>
      </c>
      <c r="K11" s="10">
        <f>'Cost-effectivness mode re-airin'!H52</f>
        <v>914.4008176</v>
      </c>
      <c r="L11" s="10">
        <f>'Cost-effectivness mode re-airin'!I52</f>
        <v>1018.310001</v>
      </c>
      <c r="M11" s="10">
        <f>'Cost-effectivness mode re-airin'!J52</f>
        <v>708.743761</v>
      </c>
      <c r="N11" s="10">
        <f>'Cost-effectivness mode re-airin'!K52</f>
        <v>1819.5745</v>
      </c>
    </row>
    <row r="12">
      <c r="B12" s="8" t="s">
        <v>22</v>
      </c>
      <c r="C12" s="9">
        <f t="shared" si="1"/>
        <v>11321.7555</v>
      </c>
      <c r="D12" s="10">
        <f>'Cost-effectivness model RCT sta'!D52</f>
        <v>1621.498378</v>
      </c>
      <c r="E12" s="10">
        <f>'Cost-effectivness model RCT sta'!E52</f>
        <v>933.9999784</v>
      </c>
      <c r="F12" s="11">
        <f>'Cost-effectivness model RCT sta'!F52</f>
        <v>1414.572353</v>
      </c>
      <c r="G12" s="10">
        <f>'Cost-effectivness mode re-airin'!D53</f>
        <v>1978.777682</v>
      </c>
      <c r="H12" s="10">
        <f>'Cost-effectivness mode re-airin'!E53</f>
        <v>776.2897059</v>
      </c>
      <c r="I12" s="10">
        <f>'Cost-effectivness mode re-airin'!F53</f>
        <v>546.2779412</v>
      </c>
      <c r="J12" s="10">
        <f>'Cost-effectivness mode re-airin'!G53</f>
        <v>910.4632353</v>
      </c>
      <c r="K12" s="10">
        <f>'Cost-effectivness mode re-airin'!H53</f>
        <v>451.2064118</v>
      </c>
      <c r="L12" s="10">
        <f>'Cost-effectivness mode re-airin'!I53</f>
        <v>502.4798676</v>
      </c>
      <c r="M12" s="10">
        <f>'Cost-effectivness mode re-airin'!J53</f>
        <v>612.8375956</v>
      </c>
      <c r="N12" s="10">
        <f>'Cost-effectivness mode re-airin'!K53</f>
        <v>1573.352349</v>
      </c>
    </row>
    <row r="13">
      <c r="B13" s="8" t="s">
        <v>23</v>
      </c>
      <c r="C13" s="9">
        <f t="shared" si="1"/>
        <v>1241.304557</v>
      </c>
      <c r="D13" s="10">
        <f>'Cost-effectivness model RCT sta'!D53</f>
        <v>215.4276417</v>
      </c>
      <c r="E13" s="10">
        <f>'Cost-effectivness model RCT sta'!E53</f>
        <v>124.0885686</v>
      </c>
      <c r="F13" s="11">
        <f>'Cost-effectivness model RCT sta'!F53</f>
        <v>129.8969696</v>
      </c>
      <c r="G13" s="10">
        <f>'Cost-effectivness mode re-airin'!D54</f>
        <v>262.8947491</v>
      </c>
      <c r="H13" s="10">
        <f>'Cost-effectivness mode re-airin'!E54</f>
        <v>72.19494265</v>
      </c>
      <c r="I13" s="10">
        <f>'Cost-effectivness mode re-airin'!F54</f>
        <v>50.80384853</v>
      </c>
      <c r="J13" s="10">
        <f>'Cost-effectivness mode re-airin'!G54</f>
        <v>84.67308088</v>
      </c>
      <c r="K13" s="10">
        <f>'Cost-effectivness mode re-airin'!H54</f>
        <v>78.43401176</v>
      </c>
      <c r="L13" s="10">
        <f>'Cost-effectivness mode re-airin'!I54</f>
        <v>87.34696765</v>
      </c>
      <c r="M13" s="10">
        <f>'Cost-effectivness mode re-airin'!J54</f>
        <v>37.99593093</v>
      </c>
      <c r="N13" s="10">
        <f>'Cost-effectivness mode re-airin'!K54</f>
        <v>97.54784565</v>
      </c>
    </row>
    <row r="14">
      <c r="B14" s="8" t="s">
        <v>24</v>
      </c>
      <c r="C14" s="9">
        <f t="shared" si="1"/>
        <v>21935.2528</v>
      </c>
      <c r="D14" s="10">
        <f>'Cost-effectivness model RCT sta'!D54</f>
        <v>2940.441552</v>
      </c>
      <c r="E14" s="10">
        <f>'Cost-effectivness model RCT sta'!E54</f>
        <v>1937.160242</v>
      </c>
      <c r="F14" s="11">
        <f>'Cost-effectivness model RCT sta'!F54</f>
        <v>2157.949144</v>
      </c>
      <c r="G14" s="10">
        <f>'Cost-effectivness mode re-airin'!D55</f>
        <v>3588.335453</v>
      </c>
      <c r="H14" s="10">
        <f>'Cost-effectivness mode re-airin'!E55</f>
        <v>1185.150404</v>
      </c>
      <c r="I14" s="10">
        <f>'Cost-effectivness mode re-airin'!F55</f>
        <v>833.9947288</v>
      </c>
      <c r="J14" s="10">
        <f>'Cost-effectivness mode re-airin'!G55</f>
        <v>1389.991215</v>
      </c>
      <c r="K14" s="10">
        <f>'Cost-effectivness mode re-airin'!H55</f>
        <v>1444.041241</v>
      </c>
      <c r="L14" s="10">
        <f>'Cost-effectivness mode re-airin'!I55</f>
        <v>1608.136837</v>
      </c>
      <c r="M14" s="10">
        <f>'Cost-effectivness mode re-airin'!J55</f>
        <v>1359.577288</v>
      </c>
      <c r="N14" s="10">
        <f>'Cost-effectivness mode re-airin'!K55</f>
        <v>3490.474695</v>
      </c>
    </row>
    <row r="15">
      <c r="B15" s="8" t="s">
        <v>25</v>
      </c>
      <c r="C15" s="9">
        <f t="shared" si="1"/>
        <v>50404.55309</v>
      </c>
      <c r="D15" s="10">
        <f>'Cost-effectivness model RCT sta'!D58</f>
        <v>6733.492703</v>
      </c>
      <c r="E15" s="10">
        <f>'Cost-effectivness model RCT sta'!E58</f>
        <v>5136.810876</v>
      </c>
      <c r="F15" s="11">
        <f>'Cost-effectivness model RCT sta'!F58</f>
        <v>5502.750767</v>
      </c>
      <c r="G15" s="10">
        <f>'Cost-effectivness mode re-airin'!D64</f>
        <v>8217.143637</v>
      </c>
      <c r="H15" s="10">
        <f>'Cost-effectivness mode re-airin'!E64</f>
        <v>2600.876312</v>
      </c>
      <c r="I15" s="10">
        <f>'Cost-effectivness mode re-airin'!F64</f>
        <v>2184.681946</v>
      </c>
      <c r="J15" s="10">
        <f>'Cost-effectivness mode re-airin'!G64</f>
        <v>3542.810687</v>
      </c>
      <c r="K15" s="10">
        <f>'Cost-effectivness mode re-airin'!H64</f>
        <v>3439.761198</v>
      </c>
      <c r="L15" s="10">
        <f>'Cost-effectivness mode re-airin'!I64</f>
        <v>4828.301543</v>
      </c>
      <c r="M15" s="10">
        <f>'Cost-effectivness mode re-airin'!J64</f>
        <v>2257.507831</v>
      </c>
      <c r="N15" s="10">
        <f>'Cost-effectivness mode re-airin'!K64</f>
        <v>5960.415588</v>
      </c>
    </row>
    <row r="16">
      <c r="B16" s="8" t="s">
        <v>26</v>
      </c>
      <c r="C16" s="9">
        <f t="shared" si="1"/>
        <v>1680.15177</v>
      </c>
      <c r="D16" s="10">
        <f>'Cost-effectivness model RCT sta'!D59</f>
        <v>224.4497568</v>
      </c>
      <c r="E16" s="10">
        <f>'Cost-effectivness model RCT sta'!E59</f>
        <v>171.2270292</v>
      </c>
      <c r="F16" s="11">
        <f>'Cost-effectivness model RCT sta'!F59</f>
        <v>183.4250256</v>
      </c>
      <c r="G16" s="10">
        <f>'Cost-effectivness mode re-airin'!D65</f>
        <v>273.9047879</v>
      </c>
      <c r="H16" s="10">
        <f>'Cost-effectivness mode re-airin'!E65</f>
        <v>86.69587705</v>
      </c>
      <c r="I16" s="10">
        <f>'Cost-effectivness mode re-airin'!F65</f>
        <v>72.82273153</v>
      </c>
      <c r="J16" s="10">
        <f>'Cost-effectivness mode re-airin'!G65</f>
        <v>118.0936896</v>
      </c>
      <c r="K16" s="10">
        <f>'Cost-effectivness mode re-airin'!H65</f>
        <v>114.6587066</v>
      </c>
      <c r="L16" s="10">
        <f>'Cost-effectivness mode re-airin'!I65</f>
        <v>160.9433848</v>
      </c>
      <c r="M16" s="10">
        <f>'Cost-effectivness mode re-airin'!J65</f>
        <v>75.25026102</v>
      </c>
      <c r="N16" s="10">
        <f>'Cost-effectivness mode re-airin'!K65</f>
        <v>198.6805196</v>
      </c>
    </row>
    <row r="17">
      <c r="B17" s="1"/>
      <c r="C17" s="12"/>
      <c r="D17" s="13"/>
      <c r="F17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.25"/>
    <col customWidth="1" min="2" max="2" width="35.63"/>
    <col customWidth="1" min="3" max="3" width="9.5"/>
    <col customWidth="1" min="4" max="6" width="13.0"/>
    <col customWidth="1" min="7" max="7" width="54.13"/>
  </cols>
  <sheetData>
    <row r="1">
      <c r="B1" s="14"/>
      <c r="C1" s="15"/>
      <c r="D1" s="16"/>
      <c r="E1" s="16"/>
      <c r="F1" s="16"/>
      <c r="G1" s="17"/>
    </row>
    <row r="2">
      <c r="B2" s="18"/>
      <c r="C2" s="19"/>
      <c r="D2" s="20" t="s">
        <v>27</v>
      </c>
      <c r="E2" s="21"/>
      <c r="F2" s="21"/>
      <c r="G2" s="22"/>
    </row>
    <row r="3">
      <c r="B3" s="3" t="s">
        <v>0</v>
      </c>
      <c r="C3" s="23" t="s">
        <v>28</v>
      </c>
      <c r="D3" s="4" t="s">
        <v>2</v>
      </c>
      <c r="E3" s="5" t="s">
        <v>3</v>
      </c>
      <c r="F3" s="5" t="s">
        <v>4</v>
      </c>
      <c r="G3" s="24"/>
    </row>
    <row r="4">
      <c r="B4" s="3"/>
      <c r="C4" s="23" t="s">
        <v>29</v>
      </c>
      <c r="D4" s="25" t="s">
        <v>30</v>
      </c>
      <c r="E4" s="26" t="s">
        <v>31</v>
      </c>
      <c r="F4" s="26" t="s">
        <v>32</v>
      </c>
      <c r="G4" s="24"/>
    </row>
    <row r="5">
      <c r="B5" s="27" t="s">
        <v>13</v>
      </c>
      <c r="C5" s="28"/>
      <c r="D5" s="29">
        <v>5000000.0</v>
      </c>
      <c r="E5" s="30">
        <v>5000000.0</v>
      </c>
      <c r="F5" s="30">
        <v>6000000.0</v>
      </c>
      <c r="G5" s="31" t="s">
        <v>33</v>
      </c>
    </row>
    <row r="6">
      <c r="B6" s="32" t="s">
        <v>34</v>
      </c>
      <c r="C6" s="28"/>
      <c r="D6" s="33">
        <v>0.3</v>
      </c>
      <c r="E6" s="33">
        <v>0.3</v>
      </c>
      <c r="F6" s="33">
        <v>0.3</v>
      </c>
      <c r="G6" s="34"/>
    </row>
    <row r="7">
      <c r="B7" s="35" t="s">
        <v>35</v>
      </c>
      <c r="C7" s="28"/>
      <c r="D7" s="29">
        <f t="shared" ref="D7:F7" si="1">D5*(1-D6)</f>
        <v>3500000</v>
      </c>
      <c r="E7" s="29">
        <f t="shared" si="1"/>
        <v>3500000</v>
      </c>
      <c r="F7" s="29">
        <f t="shared" si="1"/>
        <v>4200000</v>
      </c>
      <c r="G7" s="34"/>
    </row>
    <row r="8">
      <c r="B8" s="32" t="s">
        <v>36</v>
      </c>
      <c r="C8" s="28"/>
      <c r="D8" s="33">
        <v>0.35</v>
      </c>
      <c r="E8" s="33">
        <v>0.35</v>
      </c>
      <c r="F8" s="33">
        <v>0.35</v>
      </c>
      <c r="G8" s="34"/>
    </row>
    <row r="9">
      <c r="B9" s="35" t="s">
        <v>15</v>
      </c>
      <c r="C9" s="28"/>
      <c r="D9" s="29">
        <f t="shared" ref="D9:F9" si="2">D7*D8</f>
        <v>1225000</v>
      </c>
      <c r="E9" s="29">
        <f t="shared" si="2"/>
        <v>1225000</v>
      </c>
      <c r="F9" s="29">
        <f t="shared" si="2"/>
        <v>1470000</v>
      </c>
      <c r="G9" s="31"/>
    </row>
    <row r="10">
      <c r="B10" s="14"/>
      <c r="C10" s="15"/>
      <c r="D10" s="16"/>
      <c r="E10" s="16"/>
      <c r="F10" s="16"/>
      <c r="G10" s="17"/>
    </row>
    <row r="11">
      <c r="A11" s="16"/>
      <c r="B11" s="36" t="s">
        <v>37</v>
      </c>
      <c r="C11" s="37"/>
      <c r="D11" s="38"/>
      <c r="E11" s="38"/>
      <c r="F11" s="38"/>
      <c r="G11" s="39"/>
    </row>
    <row r="12">
      <c r="A12" s="40"/>
      <c r="B12" s="41" t="s">
        <v>38</v>
      </c>
      <c r="C12" s="42"/>
      <c r="D12" s="43">
        <v>1.9</v>
      </c>
      <c r="E12" s="43">
        <v>1.9</v>
      </c>
      <c r="F12" s="43">
        <v>1.9</v>
      </c>
      <c r="G12" s="39"/>
    </row>
    <row r="13">
      <c r="A13" s="40"/>
      <c r="B13" s="44" t="s">
        <v>39</v>
      </c>
      <c r="C13" s="45"/>
      <c r="D13" s="43">
        <v>0.4</v>
      </c>
      <c r="E13" s="43">
        <v>0.4</v>
      </c>
      <c r="F13" s="43">
        <v>0.4</v>
      </c>
      <c r="G13" s="46"/>
    </row>
    <row r="14">
      <c r="A14" s="46"/>
      <c r="B14" s="46"/>
      <c r="C14" s="46"/>
      <c r="D14" s="47"/>
      <c r="E14" s="46"/>
      <c r="F14" s="46"/>
      <c r="G14" s="46"/>
    </row>
    <row r="15">
      <c r="B15" s="48" t="s">
        <v>40</v>
      </c>
      <c r="C15" s="49"/>
      <c r="D15" s="50"/>
      <c r="E15" s="51"/>
      <c r="F15" s="51"/>
      <c r="G15" s="52"/>
    </row>
    <row r="16">
      <c r="B16" s="53" t="s">
        <v>41</v>
      </c>
      <c r="C16" s="54"/>
      <c r="D16" s="55">
        <v>0.2</v>
      </c>
      <c r="E16" s="55">
        <v>0.2</v>
      </c>
      <c r="F16" s="55">
        <v>0.2</v>
      </c>
      <c r="G16" s="56" t="s">
        <v>42</v>
      </c>
    </row>
    <row r="17">
      <c r="B17" s="27" t="s">
        <v>43</v>
      </c>
      <c r="C17" s="57"/>
      <c r="D17" s="43">
        <v>0.14</v>
      </c>
      <c r="E17" s="43">
        <v>0.17</v>
      </c>
      <c r="F17" s="43">
        <v>0.18</v>
      </c>
      <c r="G17" s="31" t="s">
        <v>44</v>
      </c>
    </row>
    <row r="18">
      <c r="B18" s="35" t="s">
        <v>45</v>
      </c>
      <c r="C18" s="58"/>
      <c r="D18" s="59">
        <f t="shared" ref="D18:F18" si="3">D17*(D16)</f>
        <v>0.028</v>
      </c>
      <c r="E18" s="60">
        <f t="shared" si="3"/>
        <v>0.034</v>
      </c>
      <c r="F18" s="60">
        <f t="shared" si="3"/>
        <v>0.036</v>
      </c>
      <c r="G18" s="61">
        <f>AVERAGE(D18:F18)</f>
        <v>0.03266666667</v>
      </c>
    </row>
    <row r="19">
      <c r="B19" s="35" t="s">
        <v>46</v>
      </c>
      <c r="C19" s="28"/>
      <c r="D19" s="62">
        <f t="shared" ref="D19:F19" si="4">D18*D9*D$12*(1-D$13)</f>
        <v>39102</v>
      </c>
      <c r="E19" s="62">
        <f t="shared" si="4"/>
        <v>47481</v>
      </c>
      <c r="F19" s="62">
        <f t="shared" si="4"/>
        <v>60328.8</v>
      </c>
      <c r="G19" s="63">
        <f>sum(D19:E19)</f>
        <v>86583</v>
      </c>
    </row>
    <row r="20">
      <c r="B20" s="64"/>
      <c r="C20" s="49"/>
      <c r="D20" s="51"/>
      <c r="E20" s="51"/>
      <c r="F20" s="51"/>
      <c r="G20" s="65"/>
    </row>
    <row r="21" ht="15.75" customHeight="1">
      <c r="B21" s="48" t="s">
        <v>47</v>
      </c>
      <c r="C21" s="66"/>
      <c r="D21" s="67"/>
      <c r="E21" s="68"/>
      <c r="F21" s="51"/>
      <c r="G21" s="65"/>
    </row>
    <row r="22" ht="15.75" customHeight="1">
      <c r="B22" s="27" t="s">
        <v>48</v>
      </c>
      <c r="C22" s="57"/>
      <c r="D22" s="43">
        <f t="shared" ref="D22:F22" si="5">0.1</f>
        <v>0.1</v>
      </c>
      <c r="E22" s="69">
        <f t="shared" si="5"/>
        <v>0.1</v>
      </c>
      <c r="F22" s="70">
        <f t="shared" si="5"/>
        <v>0.1</v>
      </c>
      <c r="G22" s="56" t="s">
        <v>42</v>
      </c>
    </row>
    <row r="23" ht="15.75" customHeight="1">
      <c r="B23" s="27" t="s">
        <v>49</v>
      </c>
      <c r="C23" s="57"/>
      <c r="D23" s="43">
        <f> 5.9/(49-15)</f>
        <v>0.1735294118</v>
      </c>
      <c r="E23" s="69">
        <f> 4.7/(49-15)</f>
        <v>0.1382352941</v>
      </c>
      <c r="F23" s="70">
        <f> 4.1/(49-15)</f>
        <v>0.1205882353</v>
      </c>
      <c r="G23" s="31" t="s">
        <v>44</v>
      </c>
    </row>
    <row r="24" ht="15.75" customHeight="1">
      <c r="B24" s="35" t="s">
        <v>50</v>
      </c>
      <c r="C24" s="58"/>
      <c r="D24" s="71">
        <f t="shared" ref="D24:F24" si="6">D23*(D22)</f>
        <v>0.01735294118</v>
      </c>
      <c r="E24" s="71">
        <f t="shared" si="6"/>
        <v>0.01382352941</v>
      </c>
      <c r="F24" s="71">
        <f t="shared" si="6"/>
        <v>0.01205882353</v>
      </c>
      <c r="G24" s="61"/>
    </row>
    <row r="25" ht="15.75" customHeight="1">
      <c r="B25" s="35" t="s">
        <v>51</v>
      </c>
      <c r="C25" s="72"/>
      <c r="D25" s="73">
        <f t="shared" ref="D25:F25" si="7">D24*D9*D$12*(1-D$13)</f>
        <v>24233.38235</v>
      </c>
      <c r="E25" s="73">
        <f t="shared" si="7"/>
        <v>19304.55882</v>
      </c>
      <c r="F25" s="73">
        <f t="shared" si="7"/>
        <v>20208.17647</v>
      </c>
      <c r="G25" s="31"/>
    </row>
    <row r="26" ht="15.75" customHeight="1">
      <c r="B26" s="27" t="s">
        <v>52</v>
      </c>
      <c r="C26" s="74"/>
      <c r="D26" s="75">
        <f>(62+6)/100</f>
        <v>0.68</v>
      </c>
      <c r="E26" s="70">
        <f>(52+16)/100</f>
        <v>0.68</v>
      </c>
      <c r="F26" s="70">
        <f>(63+11)/100</f>
        <v>0.74</v>
      </c>
      <c r="G26" s="56" t="s">
        <v>53</v>
      </c>
    </row>
    <row r="27" ht="15.75" customHeight="1">
      <c r="B27" s="35" t="s">
        <v>47</v>
      </c>
      <c r="C27" s="74"/>
      <c r="D27" s="76">
        <f t="shared" ref="D27:F27" si="8">D25/D26</f>
        <v>35637.32699</v>
      </c>
      <c r="E27" s="76">
        <f t="shared" si="8"/>
        <v>28389.05709</v>
      </c>
      <c r="F27" s="76">
        <f t="shared" si="8"/>
        <v>27308.34658</v>
      </c>
      <c r="G27" s="63">
        <f>sum(D27:E27)</f>
        <v>64026.38408</v>
      </c>
    </row>
    <row r="28" ht="15.75" customHeight="1">
      <c r="B28" s="77"/>
      <c r="C28" s="78"/>
      <c r="D28" s="79"/>
      <c r="E28" s="80"/>
      <c r="F28" s="80"/>
      <c r="G28" s="63"/>
    </row>
    <row r="29" ht="15.75" customHeight="1">
      <c r="B29" s="64" t="s">
        <v>54</v>
      </c>
      <c r="C29" s="78"/>
      <c r="D29" s="81"/>
      <c r="E29" s="82"/>
      <c r="F29" s="82"/>
      <c r="G29" s="63"/>
    </row>
    <row r="30" ht="15.75" customHeight="1">
      <c r="B30" s="53" t="s">
        <v>55</v>
      </c>
      <c r="C30" s="74"/>
      <c r="D30" s="83">
        <v>0.13</v>
      </c>
      <c r="E30" s="84">
        <v>0.14</v>
      </c>
      <c r="F30" s="84">
        <v>0.14</v>
      </c>
      <c r="G30" s="56" t="s">
        <v>53</v>
      </c>
    </row>
    <row r="31" ht="15.75" customHeight="1">
      <c r="B31" s="53" t="s">
        <v>56</v>
      </c>
      <c r="C31" s="74"/>
      <c r="D31" s="83">
        <v>0.4</v>
      </c>
      <c r="E31" s="84">
        <v>0.4</v>
      </c>
      <c r="F31" s="84">
        <v>0.4</v>
      </c>
      <c r="G31" s="56" t="s">
        <v>53</v>
      </c>
    </row>
    <row r="32" ht="15.75" customHeight="1">
      <c r="B32" s="85" t="s">
        <v>57</v>
      </c>
      <c r="C32" s="74"/>
      <c r="D32" s="86">
        <f t="shared" ref="D32:F32" si="9">D27*D30</f>
        <v>4632.852509</v>
      </c>
      <c r="E32" s="86">
        <f t="shared" si="9"/>
        <v>3974.467993</v>
      </c>
      <c r="F32" s="86">
        <f t="shared" si="9"/>
        <v>3823.168521</v>
      </c>
      <c r="G32" s="63"/>
    </row>
    <row r="33" ht="15.75" customHeight="1">
      <c r="B33" s="8" t="s">
        <v>58</v>
      </c>
      <c r="C33" s="74"/>
      <c r="D33" s="86">
        <f t="shared" ref="D33:F33" si="10">D32*D31</f>
        <v>1853.141003</v>
      </c>
      <c r="E33" s="86">
        <f t="shared" si="10"/>
        <v>1589.787197</v>
      </c>
      <c r="F33" s="86">
        <f t="shared" si="10"/>
        <v>1529.267409</v>
      </c>
      <c r="G33" s="63">
        <f>sum(D33:E33)</f>
        <v>3442.928201</v>
      </c>
    </row>
    <row r="34" ht="15.75" customHeight="1">
      <c r="B34" s="77"/>
      <c r="C34" s="78"/>
      <c r="D34" s="79"/>
      <c r="E34" s="80"/>
      <c r="F34" s="80"/>
      <c r="G34" s="63"/>
    </row>
    <row r="35" ht="15.75" customHeight="1">
      <c r="B35" s="48" t="s">
        <v>59</v>
      </c>
      <c r="C35" s="87"/>
      <c r="D35" s="88"/>
      <c r="E35" s="88"/>
      <c r="F35" s="89"/>
      <c r="G35" s="47"/>
    </row>
    <row r="36" ht="15.75" customHeight="1">
      <c r="B36" s="53" t="s">
        <v>60</v>
      </c>
      <c r="C36" s="90"/>
      <c r="D36" s="91">
        <v>3000.0</v>
      </c>
      <c r="E36" s="92">
        <v>1000.0</v>
      </c>
      <c r="F36" s="92">
        <v>800.0</v>
      </c>
      <c r="G36" s="56" t="s">
        <v>61</v>
      </c>
    </row>
    <row r="37" ht="15.75" customHeight="1">
      <c r="B37" s="53" t="s">
        <v>62</v>
      </c>
      <c r="C37" s="90"/>
      <c r="D37" s="91">
        <v>575000.0</v>
      </c>
      <c r="E37" s="92">
        <v>181000.0</v>
      </c>
      <c r="F37" s="92">
        <v>145000.0</v>
      </c>
      <c r="G37" s="56" t="s">
        <v>61</v>
      </c>
    </row>
    <row r="38" ht="15.75" customHeight="1">
      <c r="B38" s="93" t="s">
        <v>63</v>
      </c>
      <c r="C38" s="94"/>
      <c r="D38" s="95">
        <f t="shared" ref="D38:F38" si="11">D36/D37</f>
        <v>0.005217391304</v>
      </c>
      <c r="E38" s="95">
        <f t="shared" si="11"/>
        <v>0.005524861878</v>
      </c>
      <c r="F38" s="95">
        <f t="shared" si="11"/>
        <v>0.005517241379</v>
      </c>
      <c r="G38" s="96"/>
    </row>
    <row r="39" ht="15.75" customHeight="1">
      <c r="B39" s="8" t="s">
        <v>59</v>
      </c>
      <c r="C39" s="97"/>
      <c r="D39" s="98">
        <f t="shared" ref="D39:F39" si="12">D25*D38</f>
        <v>126.4350384</v>
      </c>
      <c r="E39" s="98">
        <f t="shared" si="12"/>
        <v>106.6550211</v>
      </c>
      <c r="F39" s="98">
        <f t="shared" si="12"/>
        <v>111.4933874</v>
      </c>
      <c r="G39" s="99"/>
    </row>
    <row r="40" ht="15.75" customHeight="1">
      <c r="B40" s="100"/>
      <c r="C40" s="101" t="s">
        <v>64</v>
      </c>
      <c r="D40" s="102"/>
      <c r="E40" s="103"/>
      <c r="F40" s="104"/>
      <c r="G40" s="105"/>
    </row>
    <row r="41" ht="15.75" customHeight="1">
      <c r="B41" s="36" t="s">
        <v>65</v>
      </c>
      <c r="C41" s="106"/>
      <c r="D41" s="107"/>
      <c r="E41" s="108"/>
      <c r="F41" s="104"/>
      <c r="G41" s="105"/>
    </row>
    <row r="42" ht="15.75" customHeight="1">
      <c r="B42" s="27" t="s">
        <v>66</v>
      </c>
      <c r="C42" s="57"/>
      <c r="D42" s="109">
        <v>0.003</v>
      </c>
      <c r="E42" s="110">
        <v>0.003</v>
      </c>
      <c r="F42" s="111">
        <v>0.002</v>
      </c>
      <c r="G42" s="112" t="s">
        <v>67</v>
      </c>
    </row>
    <row r="43" ht="15.75" customHeight="1">
      <c r="B43" s="27" t="s">
        <v>68</v>
      </c>
      <c r="C43" s="57"/>
      <c r="D43" s="113">
        <f t="shared" ref="D43:D44" si="13"> 6.5/(49-15)</f>
        <v>0.1911764706</v>
      </c>
      <c r="E43" s="114">
        <f t="shared" ref="E43:E44" si="14"> 4.7/(49-15)</f>
        <v>0.1382352941</v>
      </c>
      <c r="F43" s="114">
        <v>0.2</v>
      </c>
      <c r="G43" s="115" t="s">
        <v>69</v>
      </c>
    </row>
    <row r="44" ht="15.75" customHeight="1">
      <c r="B44" s="27" t="s">
        <v>70</v>
      </c>
      <c r="C44" s="57"/>
      <c r="D44" s="33">
        <f t="shared" si="13"/>
        <v>0.1911764706</v>
      </c>
      <c r="E44" s="116">
        <f t="shared" si="14"/>
        <v>0.1382352941</v>
      </c>
      <c r="F44" s="116">
        <f> 4.7/(49-15)</f>
        <v>0.1382352941</v>
      </c>
      <c r="G44" s="117" t="s">
        <v>71</v>
      </c>
    </row>
    <row r="45" ht="15.75" customHeight="1">
      <c r="B45" s="27" t="s">
        <v>72</v>
      </c>
      <c r="C45" s="57"/>
      <c r="D45" s="118">
        <v>0.43</v>
      </c>
      <c r="E45" s="118">
        <v>0.43</v>
      </c>
      <c r="F45" s="118">
        <v>0.43</v>
      </c>
      <c r="G45" s="115" t="s">
        <v>73</v>
      </c>
    </row>
    <row r="46" ht="15.75" customHeight="1">
      <c r="B46" s="27" t="s">
        <v>74</v>
      </c>
      <c r="C46" s="90"/>
      <c r="D46" s="119">
        <v>0.35</v>
      </c>
      <c r="E46" s="119">
        <v>0.35</v>
      </c>
      <c r="F46" s="119">
        <v>0.35</v>
      </c>
      <c r="G46" s="117" t="s">
        <v>73</v>
      </c>
    </row>
    <row r="47" ht="15.75" customHeight="1">
      <c r="B47" s="27" t="s">
        <v>75</v>
      </c>
      <c r="C47" s="90"/>
      <c r="D47" s="119">
        <v>0.093</v>
      </c>
      <c r="E47" s="119">
        <v>0.093</v>
      </c>
      <c r="F47" s="119">
        <v>0.093</v>
      </c>
      <c r="G47" s="117" t="s">
        <v>73</v>
      </c>
    </row>
    <row r="48" ht="15.75" customHeight="1">
      <c r="B48" s="53" t="s">
        <v>76</v>
      </c>
      <c r="C48" s="90"/>
      <c r="D48" s="119">
        <f t="shared" ref="D48:F48" si="15">55.7-20.4</f>
        <v>35.3</v>
      </c>
      <c r="E48" s="119">
        <f t="shared" si="15"/>
        <v>35.3</v>
      </c>
      <c r="F48" s="119">
        <f t="shared" si="15"/>
        <v>35.3</v>
      </c>
      <c r="G48" s="117" t="s">
        <v>73</v>
      </c>
    </row>
    <row r="49" ht="15.75" customHeight="1">
      <c r="B49" s="53" t="s">
        <v>77</v>
      </c>
      <c r="C49" s="90"/>
      <c r="D49" s="119">
        <v>1.0</v>
      </c>
      <c r="E49" s="119">
        <v>1.0</v>
      </c>
      <c r="F49" s="119">
        <v>1.0</v>
      </c>
      <c r="G49" s="117" t="s">
        <v>73</v>
      </c>
    </row>
    <row r="50" ht="15.75" customHeight="1">
      <c r="B50" s="53" t="s">
        <v>78</v>
      </c>
      <c r="C50" s="90"/>
      <c r="D50" s="119">
        <v>0.5</v>
      </c>
      <c r="E50" s="119">
        <v>0.5</v>
      </c>
      <c r="F50" s="119">
        <v>0.5</v>
      </c>
      <c r="G50" s="117" t="s">
        <v>73</v>
      </c>
    </row>
    <row r="51" ht="15.75" customHeight="1">
      <c r="B51" s="120" t="s">
        <v>79</v>
      </c>
      <c r="C51" s="90"/>
      <c r="D51" s="121">
        <f t="shared" ref="D51:F51" si="16">D$25*D42*D45*D48</f>
        <v>1103.515532</v>
      </c>
      <c r="E51" s="121">
        <f t="shared" si="16"/>
        <v>879.0716951</v>
      </c>
      <c r="F51" s="121">
        <f t="shared" si="16"/>
        <v>613.4798213</v>
      </c>
      <c r="G51" s="122"/>
    </row>
    <row r="52" ht="15.75" customHeight="1">
      <c r="B52" s="120" t="s">
        <v>80</v>
      </c>
      <c r="C52" s="90"/>
      <c r="D52" s="121">
        <f t="shared" ref="D52:F52" si="17">D$25*D43*D46*D49</f>
        <v>1621.498378</v>
      </c>
      <c r="E52" s="121">
        <f t="shared" si="17"/>
        <v>933.9999784</v>
      </c>
      <c r="F52" s="121">
        <f t="shared" si="17"/>
        <v>1414.572353</v>
      </c>
      <c r="G52" s="122"/>
    </row>
    <row r="53" ht="15.75" customHeight="1">
      <c r="B53" s="120" t="s">
        <v>81</v>
      </c>
      <c r="C53" s="90"/>
      <c r="D53" s="121">
        <f t="shared" ref="D53:F53" si="18">D$25*D44*D47*D50</f>
        <v>215.4276417</v>
      </c>
      <c r="E53" s="121">
        <f t="shared" si="18"/>
        <v>124.0885686</v>
      </c>
      <c r="F53" s="121">
        <f t="shared" si="18"/>
        <v>129.8969696</v>
      </c>
      <c r="G53" s="122"/>
    </row>
    <row r="54" ht="15.75" customHeight="1">
      <c r="B54" s="8" t="s">
        <v>24</v>
      </c>
      <c r="C54" s="123"/>
      <c r="D54" s="124">
        <f t="shared" ref="D54:F54" si="19">sum(D51:D53)</f>
        <v>2940.441552</v>
      </c>
      <c r="E54" s="124">
        <f t="shared" si="19"/>
        <v>1937.160242</v>
      </c>
      <c r="F54" s="124">
        <f t="shared" si="19"/>
        <v>2157.949144</v>
      </c>
      <c r="G54" s="122"/>
    </row>
    <row r="55" ht="15.75" customHeight="1">
      <c r="B55" s="100"/>
      <c r="C55" s="101"/>
      <c r="D55" s="125"/>
      <c r="E55" s="125"/>
      <c r="F55" s="126"/>
      <c r="G55" s="122"/>
    </row>
    <row r="56" ht="15.75" customHeight="1">
      <c r="B56" s="36" t="s">
        <v>82</v>
      </c>
      <c r="C56" s="37"/>
      <c r="D56" s="127"/>
      <c r="E56" s="127"/>
      <c r="F56" s="128"/>
      <c r="G56" s="129"/>
    </row>
    <row r="57" ht="15.75" customHeight="1">
      <c r="B57" s="130" t="s">
        <v>83</v>
      </c>
      <c r="C57" s="42"/>
      <c r="D57" s="131">
        <v>30.0</v>
      </c>
      <c r="E57" s="131">
        <v>30.0</v>
      </c>
      <c r="F57" s="132">
        <v>30.0</v>
      </c>
      <c r="G57" s="133" t="s">
        <v>84</v>
      </c>
    </row>
    <row r="58" ht="15.75" customHeight="1">
      <c r="B58" s="85" t="s">
        <v>25</v>
      </c>
      <c r="C58" s="134"/>
      <c r="D58" s="135">
        <f t="shared" ref="D58:F58" si="20">D54+D39*D57</f>
        <v>6733.492703</v>
      </c>
      <c r="E58" s="135">
        <f t="shared" si="20"/>
        <v>5136.810876</v>
      </c>
      <c r="F58" s="136">
        <f t="shared" si="20"/>
        <v>5502.750767</v>
      </c>
      <c r="G58" s="137"/>
    </row>
    <row r="59" ht="15.75" customHeight="1">
      <c r="B59" s="85" t="s">
        <v>26</v>
      </c>
      <c r="C59" s="134"/>
      <c r="D59" s="135">
        <f t="shared" ref="D59:F59" si="21">D58/D57</f>
        <v>224.4497568</v>
      </c>
      <c r="E59" s="135">
        <f t="shared" si="21"/>
        <v>171.2270292</v>
      </c>
      <c r="F59" s="136">
        <f t="shared" si="21"/>
        <v>183.4250256</v>
      </c>
      <c r="G59" s="137">
        <f>sum(D59:E59)</f>
        <v>395.676786</v>
      </c>
    </row>
    <row r="60" ht="15.75" customHeight="1">
      <c r="B60" s="14"/>
      <c r="C60" s="15"/>
      <c r="D60" s="138"/>
      <c r="E60" s="50"/>
      <c r="F60" s="50"/>
      <c r="G60" s="17"/>
    </row>
    <row r="61" ht="15.75" customHeight="1">
      <c r="B61" s="18"/>
      <c r="C61" s="19"/>
      <c r="D61" s="67"/>
      <c r="E61" s="67"/>
      <c r="F61" s="16"/>
      <c r="G61" s="65"/>
    </row>
    <row r="62" ht="15.75" customHeight="1">
      <c r="B62" s="139" t="s">
        <v>85</v>
      </c>
      <c r="C62" s="140" t="s">
        <v>1</v>
      </c>
      <c r="D62" s="141" t="s">
        <v>5</v>
      </c>
      <c r="E62" s="142" t="s">
        <v>3</v>
      </c>
      <c r="F62" s="142" t="s">
        <v>4</v>
      </c>
      <c r="G62" s="143"/>
    </row>
    <row r="63" ht="15.75" customHeight="1">
      <c r="B63" s="32" t="s">
        <v>86</v>
      </c>
      <c r="C63" s="144"/>
      <c r="D63" s="21"/>
      <c r="E63" s="21"/>
      <c r="F63" s="145"/>
      <c r="G63" s="31"/>
    </row>
    <row r="64" ht="15.75" customHeight="1">
      <c r="B64" s="32" t="s">
        <v>87</v>
      </c>
      <c r="C64" s="146">
        <f>'RCT Budget summary'!C5*1.1</f>
        <v>571496.2</v>
      </c>
      <c r="D64" s="147">
        <f t="shared" ref="D64:F64" si="22">$C64/3</f>
        <v>190498.7333</v>
      </c>
      <c r="E64" s="147">
        <f t="shared" si="22"/>
        <v>190498.7333</v>
      </c>
      <c r="F64" s="147">
        <f t="shared" si="22"/>
        <v>190498.7333</v>
      </c>
      <c r="G64" s="31"/>
    </row>
    <row r="65" ht="15.75" customHeight="1">
      <c r="B65" s="32" t="s">
        <v>88</v>
      </c>
      <c r="C65" s="146">
        <f>'RCT Budget summary'!C6*1.1</f>
        <v>1317614.1</v>
      </c>
      <c r="D65" s="147">
        <f t="shared" ref="D65:F65" si="23">$C65/3</f>
        <v>439204.7</v>
      </c>
      <c r="E65" s="147">
        <f t="shared" si="23"/>
        <v>439204.7</v>
      </c>
      <c r="F65" s="147">
        <f t="shared" si="23"/>
        <v>439204.7</v>
      </c>
      <c r="G65" s="31"/>
    </row>
    <row r="66" ht="15.75" customHeight="1">
      <c r="B66" s="32" t="s">
        <v>89</v>
      </c>
      <c r="C66" s="146">
        <f>'RCT Budget summary'!C7*1.1</f>
        <v>179348.4</v>
      </c>
      <c r="D66" s="147">
        <f t="shared" ref="D66:F66" si="24">$C66/3</f>
        <v>59782.8</v>
      </c>
      <c r="E66" s="147">
        <f t="shared" si="24"/>
        <v>59782.8</v>
      </c>
      <c r="F66" s="147">
        <f t="shared" si="24"/>
        <v>59782.8</v>
      </c>
      <c r="G66" s="65"/>
    </row>
    <row r="67" ht="15.75" customHeight="1">
      <c r="B67" s="32" t="s">
        <v>90</v>
      </c>
      <c r="C67" s="144"/>
      <c r="D67" s="21"/>
      <c r="E67" s="145"/>
      <c r="F67" s="148"/>
      <c r="G67" s="65"/>
    </row>
    <row r="68" ht="15.75" customHeight="1">
      <c r="B68" s="32" t="s">
        <v>91</v>
      </c>
      <c r="C68" s="146">
        <f>'RCT Budget summary'!C11*1.1</f>
        <v>430366.2</v>
      </c>
      <c r="D68" s="147">
        <f t="shared" ref="D68:F68" si="25">$C68/3</f>
        <v>143455.4</v>
      </c>
      <c r="E68" s="147">
        <f t="shared" si="25"/>
        <v>143455.4</v>
      </c>
      <c r="F68" s="149">
        <f t="shared" si="25"/>
        <v>143455.4</v>
      </c>
      <c r="G68" s="150"/>
    </row>
    <row r="69" ht="15.75" customHeight="1">
      <c r="B69" s="32" t="s">
        <v>92</v>
      </c>
      <c r="C69" s="146">
        <f>'RCT Budget summary'!C12*1.1</f>
        <v>139650.5</v>
      </c>
      <c r="D69" s="147">
        <f t="shared" ref="D69:F69" si="26">$C69/3</f>
        <v>46550.16667</v>
      </c>
      <c r="E69" s="147">
        <f t="shared" si="26"/>
        <v>46550.16667</v>
      </c>
      <c r="F69" s="147">
        <f t="shared" si="26"/>
        <v>46550.16667</v>
      </c>
      <c r="G69" s="150"/>
    </row>
    <row r="70" ht="15.75" customHeight="1">
      <c r="B70" s="151" t="s">
        <v>93</v>
      </c>
      <c r="C70" s="146">
        <f>'RCT Budget summary'!C13</f>
        <v>21681</v>
      </c>
      <c r="D70" s="147">
        <f t="shared" ref="D70:F70" si="27">$C70/3</f>
        <v>7227</v>
      </c>
      <c r="E70" s="147">
        <f t="shared" si="27"/>
        <v>7227</v>
      </c>
      <c r="F70" s="147">
        <f t="shared" si="27"/>
        <v>7227</v>
      </c>
      <c r="G70" s="150"/>
    </row>
    <row r="71" ht="15.75" customHeight="1">
      <c r="B71" s="151" t="s">
        <v>94</v>
      </c>
      <c r="C71" s="152">
        <f t="shared" ref="C71:F71" si="28">sum(C63:C70)</f>
        <v>2660156.4</v>
      </c>
      <c r="D71" s="153">
        <f t="shared" si="28"/>
        <v>886718.8</v>
      </c>
      <c r="E71" s="149">
        <f t="shared" si="28"/>
        <v>886718.8</v>
      </c>
      <c r="F71" s="149">
        <f t="shared" si="28"/>
        <v>886718.8</v>
      </c>
      <c r="G71" s="150">
        <f>F71/23*12</f>
        <v>462635.8957</v>
      </c>
    </row>
    <row r="72" ht="15.75" customHeight="1">
      <c r="B72" s="18"/>
      <c r="C72" s="19"/>
      <c r="D72" s="67"/>
      <c r="E72" s="67"/>
      <c r="F72" s="16"/>
      <c r="G72" s="17"/>
    </row>
    <row r="73" ht="15.75" customHeight="1">
      <c r="B73" s="139" t="s">
        <v>95</v>
      </c>
      <c r="C73" s="154"/>
      <c r="D73" s="141" t="s">
        <v>5</v>
      </c>
      <c r="E73" s="142" t="s">
        <v>3</v>
      </c>
      <c r="F73" s="142" t="s">
        <v>4</v>
      </c>
      <c r="G73" s="24"/>
    </row>
    <row r="74" ht="15.75" customHeight="1">
      <c r="B74" s="35" t="s">
        <v>96</v>
      </c>
      <c r="C74" s="155"/>
      <c r="D74" s="156">
        <f t="shared" ref="D74:F74" si="29">D$71/(D$19)</f>
        <v>22.67707023</v>
      </c>
      <c r="E74" s="156">
        <f t="shared" si="29"/>
        <v>18.6752343</v>
      </c>
      <c r="F74" s="156">
        <f t="shared" si="29"/>
        <v>14.69810107</v>
      </c>
      <c r="G74" s="150"/>
    </row>
    <row r="75" ht="15.75" customHeight="1">
      <c r="B75" s="35" t="s">
        <v>97</v>
      </c>
      <c r="C75" s="155"/>
      <c r="D75" s="156">
        <f t="shared" ref="D75:F75" si="30">D$71/(D27)</f>
        <v>24.88174268</v>
      </c>
      <c r="E75" s="156">
        <f t="shared" si="30"/>
        <v>31.23452805</v>
      </c>
      <c r="F75" s="156">
        <f t="shared" si="30"/>
        <v>32.4706147</v>
      </c>
      <c r="G75" s="150"/>
    </row>
    <row r="76" ht="15.75" customHeight="1">
      <c r="B76" s="35" t="s">
        <v>98</v>
      </c>
      <c r="C76" s="155"/>
      <c r="D76" s="156">
        <f t="shared" ref="D76:F76" si="31">D$71/(D33)</f>
        <v>478.4950516</v>
      </c>
      <c r="E76" s="156">
        <f t="shared" si="31"/>
        <v>557.7594294</v>
      </c>
      <c r="F76" s="156">
        <f t="shared" si="31"/>
        <v>579.8324054</v>
      </c>
      <c r="G76" s="150"/>
    </row>
    <row r="77" ht="15.75" customHeight="1">
      <c r="B77" s="35" t="s">
        <v>99</v>
      </c>
      <c r="C77" s="155"/>
      <c r="D77" s="156">
        <f t="shared" ref="D77:F77" si="32">D$71/(D54)</f>
        <v>301.5597434</v>
      </c>
      <c r="E77" s="156">
        <f t="shared" si="32"/>
        <v>457.7415852</v>
      </c>
      <c r="F77" s="156">
        <f t="shared" si="32"/>
        <v>410.9081081</v>
      </c>
      <c r="G77" s="150"/>
    </row>
    <row r="78" ht="15.75" customHeight="1">
      <c r="B78" s="35" t="s">
        <v>100</v>
      </c>
      <c r="C78" s="155"/>
      <c r="D78" s="156">
        <f t="shared" ref="D78:F78" si="33">D$71/(D39)</f>
        <v>7013.236295</v>
      </c>
      <c r="E78" s="156">
        <f t="shared" si="33"/>
        <v>8313.896436</v>
      </c>
      <c r="F78" s="156">
        <f t="shared" si="33"/>
        <v>7953.106641</v>
      </c>
      <c r="G78" s="150"/>
    </row>
    <row r="79" ht="15.75" customHeight="1">
      <c r="B79" s="35" t="s">
        <v>101</v>
      </c>
      <c r="C79" s="157"/>
      <c r="D79" s="158">
        <f t="shared" ref="D79:F79" si="34">D$71/D58</f>
        <v>131.687794</v>
      </c>
      <c r="E79" s="158">
        <f t="shared" si="34"/>
        <v>172.620488</v>
      </c>
      <c r="F79" s="158">
        <f t="shared" si="34"/>
        <v>161.141007</v>
      </c>
      <c r="G79" s="150"/>
    </row>
    <row r="80" ht="15.75" customHeight="1">
      <c r="B80" s="35" t="s">
        <v>102</v>
      </c>
      <c r="C80" s="157"/>
      <c r="D80" s="158">
        <f t="shared" ref="D80:F80" si="35">D$71/D59</f>
        <v>3950.63382</v>
      </c>
      <c r="E80" s="158">
        <f t="shared" si="35"/>
        <v>5178.614639</v>
      </c>
      <c r="F80" s="158">
        <f t="shared" si="35"/>
        <v>4834.230211</v>
      </c>
      <c r="G80" s="150">
        <f>AVERAGE(D80:F80)</f>
        <v>4654.49289</v>
      </c>
    </row>
    <row r="81" ht="15.75" customHeight="1">
      <c r="B81" s="14"/>
      <c r="C81" s="15"/>
      <c r="D81" s="16"/>
      <c r="E81" s="16"/>
      <c r="F81" s="16"/>
      <c r="G81" s="17"/>
    </row>
    <row r="82" ht="15.75" customHeight="1">
      <c r="B82" s="151" t="s">
        <v>103</v>
      </c>
      <c r="C82" s="15"/>
      <c r="D82" s="16"/>
      <c r="E82" s="16"/>
      <c r="F82" s="16"/>
      <c r="G82" s="17"/>
    </row>
    <row r="83" ht="15.75" customHeight="1">
      <c r="B83" s="35" t="s">
        <v>104</v>
      </c>
      <c r="C83" s="15"/>
      <c r="D83" s="16"/>
      <c r="E83" s="159"/>
      <c r="F83" s="159"/>
      <c r="G83" s="65"/>
    </row>
    <row r="84" ht="15.75" customHeight="1">
      <c r="B84" s="27" t="s">
        <v>105</v>
      </c>
      <c r="C84" s="15"/>
      <c r="D84" s="16"/>
      <c r="E84" s="16"/>
      <c r="F84" s="16"/>
      <c r="G84" s="17"/>
    </row>
    <row r="85" ht="15.75" customHeight="1">
      <c r="B85" s="160" t="s">
        <v>106</v>
      </c>
      <c r="C85" s="15"/>
      <c r="D85" s="16"/>
      <c r="E85" s="16"/>
      <c r="F85" s="16"/>
      <c r="G85" s="17"/>
    </row>
    <row r="86" ht="15.75" customHeight="1">
      <c r="B86" s="14"/>
      <c r="C86" s="15"/>
      <c r="D86" s="16"/>
      <c r="E86" s="16"/>
      <c r="F86" s="16"/>
      <c r="G86" s="17"/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D2:F2"/>
    <mergeCell ref="C63:F63"/>
    <mergeCell ref="C67:E67"/>
  </mergeCells>
  <hyperlinks>
    <hyperlink r:id="rId1" ref="G16"/>
    <hyperlink r:id="rId2" ref="G22"/>
    <hyperlink r:id="rId3" ref="G26"/>
    <hyperlink r:id="rId4" ref="G30"/>
    <hyperlink r:id="rId5" ref="G31"/>
    <hyperlink r:id="rId6" ref="G36"/>
    <hyperlink r:id="rId7" ref="G37"/>
    <hyperlink r:id="rId8" ref="G42"/>
    <hyperlink r:id="rId9" ref="G43"/>
    <hyperlink r:id="rId10" ref="G44"/>
    <hyperlink r:id="rId11" ref="G45"/>
    <hyperlink r:id="rId12" ref="G46"/>
    <hyperlink r:id="rId13" ref="G47"/>
    <hyperlink r:id="rId14" ref="G48"/>
    <hyperlink r:id="rId15" ref="G49"/>
    <hyperlink r:id="rId16" ref="G50"/>
    <hyperlink r:id="rId17" ref="G57"/>
  </hyperlinks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3.38"/>
    <col customWidth="1" min="2" max="2" width="30.13"/>
    <col customWidth="1" min="3" max="3" width="8.75"/>
    <col customWidth="1" min="4" max="4" width="11.25"/>
    <col customWidth="1" min="5" max="11" width="11.0"/>
    <col customWidth="1" min="12" max="12" width="12.88"/>
  </cols>
  <sheetData>
    <row r="1">
      <c r="B1" s="14"/>
      <c r="C1" s="161"/>
      <c r="D1" s="161"/>
      <c r="E1" s="162"/>
      <c r="F1" s="162"/>
      <c r="G1" s="162"/>
      <c r="H1" s="162"/>
      <c r="I1" s="162"/>
      <c r="J1" s="162"/>
      <c r="K1" s="162"/>
      <c r="L1" s="163"/>
    </row>
    <row r="2">
      <c r="B2" s="18"/>
      <c r="C2" s="164"/>
      <c r="D2" s="20" t="s">
        <v>27</v>
      </c>
      <c r="E2" s="21"/>
      <c r="F2" s="21"/>
      <c r="G2" s="21"/>
      <c r="H2" s="21"/>
      <c r="I2" s="165"/>
      <c r="J2" s="165"/>
      <c r="K2" s="165"/>
      <c r="L2" s="166"/>
    </row>
    <row r="3">
      <c r="B3" s="167"/>
      <c r="C3" s="168"/>
      <c r="D3" s="168"/>
      <c r="E3" s="169" t="s">
        <v>107</v>
      </c>
      <c r="F3" s="21"/>
      <c r="G3" s="21"/>
      <c r="H3" s="170" t="s">
        <v>108</v>
      </c>
      <c r="J3" s="170" t="s">
        <v>109</v>
      </c>
      <c r="L3" s="171"/>
    </row>
    <row r="4">
      <c r="B4" s="139" t="s">
        <v>0</v>
      </c>
      <c r="C4" s="25" t="s">
        <v>28</v>
      </c>
      <c r="D4" s="4" t="s">
        <v>5</v>
      </c>
      <c r="E4" s="4" t="s">
        <v>6</v>
      </c>
      <c r="F4" s="5" t="s">
        <v>7</v>
      </c>
      <c r="G4" s="5" t="s">
        <v>110</v>
      </c>
      <c r="H4" s="5" t="s">
        <v>9</v>
      </c>
      <c r="I4" s="5" t="s">
        <v>10</v>
      </c>
      <c r="J4" s="5" t="s">
        <v>11</v>
      </c>
      <c r="K4" s="5" t="s">
        <v>12</v>
      </c>
      <c r="L4" s="171"/>
    </row>
    <row r="5">
      <c r="B5" s="139"/>
      <c r="C5" s="25"/>
      <c r="D5" s="25"/>
      <c r="E5" s="25"/>
      <c r="F5" s="25"/>
      <c r="G5" s="26"/>
      <c r="H5" s="26"/>
      <c r="I5" s="26"/>
      <c r="J5" s="26"/>
      <c r="K5" s="26"/>
      <c r="L5" s="171"/>
    </row>
    <row r="6">
      <c r="B6" s="172"/>
      <c r="C6" s="172">
        <v>3.26E7</v>
      </c>
      <c r="D6" s="29">
        <v>5600000.0</v>
      </c>
      <c r="E6" s="91">
        <v>3000000.0</v>
      </c>
      <c r="F6" s="91">
        <v>3000000.0</v>
      </c>
      <c r="G6" s="172">
        <v>5000000.0</v>
      </c>
      <c r="H6" s="91">
        <v>4000000.0</v>
      </c>
      <c r="I6" s="92">
        <v>4000000.0</v>
      </c>
      <c r="J6" s="173">
        <v>2100000.0</v>
      </c>
      <c r="K6" s="172">
        <v>5900000.0</v>
      </c>
      <c r="L6" s="174"/>
    </row>
    <row r="7">
      <c r="B7" s="32" t="s">
        <v>34</v>
      </c>
      <c r="C7" s="172"/>
      <c r="D7" s="33">
        <v>0.0</v>
      </c>
      <c r="E7" s="83">
        <v>0.3</v>
      </c>
      <c r="F7" s="83">
        <v>0.3</v>
      </c>
      <c r="G7" s="83">
        <v>0.3</v>
      </c>
      <c r="H7" s="83">
        <v>0.3</v>
      </c>
      <c r="I7" s="83">
        <v>0.3</v>
      </c>
      <c r="J7" s="83">
        <v>0.3</v>
      </c>
      <c r="K7" s="83">
        <v>0.3</v>
      </c>
      <c r="L7" s="174"/>
    </row>
    <row r="8">
      <c r="B8" s="35" t="s">
        <v>35</v>
      </c>
      <c r="C8" s="172"/>
      <c r="D8" s="29">
        <f t="shared" ref="D8:K8" si="1">D6*(1-D7)</f>
        <v>5600000</v>
      </c>
      <c r="E8" s="91">
        <f t="shared" si="1"/>
        <v>2100000</v>
      </c>
      <c r="F8" s="91">
        <f t="shared" si="1"/>
        <v>2100000</v>
      </c>
      <c r="G8" s="91">
        <f t="shared" si="1"/>
        <v>3500000</v>
      </c>
      <c r="H8" s="91">
        <f t="shared" si="1"/>
        <v>2800000</v>
      </c>
      <c r="I8" s="91">
        <f t="shared" si="1"/>
        <v>2800000</v>
      </c>
      <c r="J8" s="91">
        <f t="shared" si="1"/>
        <v>1470000</v>
      </c>
      <c r="K8" s="91">
        <f t="shared" si="1"/>
        <v>4130000</v>
      </c>
      <c r="L8" s="174"/>
    </row>
    <row r="9">
      <c r="B9" s="32" t="s">
        <v>36</v>
      </c>
      <c r="C9" s="175"/>
      <c r="D9" s="33">
        <v>0.35</v>
      </c>
      <c r="E9" s="83">
        <v>0.35</v>
      </c>
      <c r="F9" s="83">
        <v>0.35</v>
      </c>
      <c r="G9" s="83">
        <v>0.35</v>
      </c>
      <c r="H9" s="83">
        <v>0.35</v>
      </c>
      <c r="I9" s="83">
        <v>0.35</v>
      </c>
      <c r="J9" s="83">
        <v>0.35</v>
      </c>
      <c r="K9" s="83">
        <v>0.35</v>
      </c>
      <c r="L9" s="174"/>
    </row>
    <row r="10">
      <c r="B10" s="35" t="s">
        <v>15</v>
      </c>
      <c r="C10" s="172">
        <f>sum(D10:K10)</f>
        <v>8575000</v>
      </c>
      <c r="D10" s="29">
        <f t="shared" ref="D10:K10" si="2">D8*D9</f>
        <v>1960000</v>
      </c>
      <c r="E10" s="91">
        <f t="shared" si="2"/>
        <v>735000</v>
      </c>
      <c r="F10" s="91">
        <f t="shared" si="2"/>
        <v>735000</v>
      </c>
      <c r="G10" s="91">
        <f t="shared" si="2"/>
        <v>1225000</v>
      </c>
      <c r="H10" s="91">
        <f t="shared" si="2"/>
        <v>980000</v>
      </c>
      <c r="I10" s="91">
        <f t="shared" si="2"/>
        <v>980000</v>
      </c>
      <c r="J10" s="91">
        <f t="shared" si="2"/>
        <v>514500</v>
      </c>
      <c r="K10" s="91">
        <f t="shared" si="2"/>
        <v>1445500</v>
      </c>
      <c r="L10" s="174"/>
    </row>
    <row r="11">
      <c r="B11" s="14"/>
      <c r="C11" s="162"/>
      <c r="D11" s="16"/>
      <c r="E11" s="162"/>
      <c r="F11" s="162"/>
      <c r="G11" s="161"/>
      <c r="H11" s="162"/>
      <c r="I11" s="162"/>
      <c r="J11" s="161"/>
      <c r="K11" s="162"/>
      <c r="L11" s="163"/>
    </row>
    <row r="12">
      <c r="A12" s="16"/>
      <c r="B12" s="36" t="s">
        <v>37</v>
      </c>
      <c r="C12" s="176"/>
      <c r="D12" s="38"/>
      <c r="E12" s="177"/>
      <c r="F12" s="177"/>
      <c r="G12" s="178"/>
      <c r="H12" s="177"/>
      <c r="I12" s="177"/>
      <c r="J12" s="178"/>
      <c r="K12" s="177"/>
      <c r="L12" s="163"/>
    </row>
    <row r="13">
      <c r="A13" s="40"/>
      <c r="B13" s="41" t="s">
        <v>38</v>
      </c>
      <c r="C13" s="179"/>
      <c r="D13" s="43">
        <v>1.9</v>
      </c>
      <c r="E13" s="43">
        <v>1.9</v>
      </c>
      <c r="F13" s="43">
        <v>1.9</v>
      </c>
      <c r="G13" s="43">
        <v>1.9</v>
      </c>
      <c r="H13" s="43">
        <v>1.9</v>
      </c>
      <c r="I13" s="43">
        <v>1.9</v>
      </c>
      <c r="J13" s="43">
        <v>1.9</v>
      </c>
      <c r="K13" s="43">
        <v>1.9</v>
      </c>
      <c r="L13" s="163"/>
    </row>
    <row r="14">
      <c r="A14" s="40"/>
      <c r="B14" s="44" t="s">
        <v>39</v>
      </c>
      <c r="C14" s="180"/>
      <c r="D14" s="43">
        <v>0.4</v>
      </c>
      <c r="E14" s="43">
        <v>0.4</v>
      </c>
      <c r="F14" s="43">
        <v>0.5</v>
      </c>
      <c r="G14" s="43">
        <v>0.5</v>
      </c>
      <c r="H14" s="43">
        <v>0.5</v>
      </c>
      <c r="I14" s="43">
        <v>0.5</v>
      </c>
      <c r="J14" s="181">
        <v>0.65</v>
      </c>
      <c r="K14" s="181">
        <v>0.65</v>
      </c>
      <c r="L14" s="163"/>
    </row>
    <row r="15">
      <c r="A15" s="16"/>
      <c r="B15" s="182"/>
      <c r="C15" s="182"/>
      <c r="D15" s="138"/>
      <c r="E15" s="138"/>
      <c r="F15" s="138"/>
      <c r="G15" s="138"/>
      <c r="H15" s="138"/>
      <c r="I15" s="138"/>
      <c r="J15" s="138"/>
      <c r="K15" s="138"/>
      <c r="L15" s="163"/>
    </row>
    <row r="16">
      <c r="B16" s="48" t="s">
        <v>40</v>
      </c>
      <c r="C16" s="183"/>
      <c r="D16" s="184"/>
      <c r="E16" s="184"/>
      <c r="F16" s="183"/>
      <c r="G16" s="185"/>
      <c r="H16" s="184"/>
      <c r="I16" s="183"/>
      <c r="J16" s="185"/>
      <c r="K16" s="184"/>
      <c r="L16" s="163"/>
    </row>
    <row r="17">
      <c r="B17" s="53" t="s">
        <v>41</v>
      </c>
      <c r="C17" s="186"/>
      <c r="D17" s="55">
        <v>0.2</v>
      </c>
      <c r="E17" s="55">
        <v>0.2</v>
      </c>
      <c r="F17" s="55">
        <v>0.2</v>
      </c>
      <c r="G17" s="55">
        <v>0.2</v>
      </c>
      <c r="H17" s="55">
        <v>0.2</v>
      </c>
      <c r="I17" s="55">
        <v>0.2</v>
      </c>
      <c r="J17" s="55">
        <v>0.2</v>
      </c>
      <c r="K17" s="55">
        <v>0.2</v>
      </c>
      <c r="L17" s="174"/>
    </row>
    <row r="18">
      <c r="B18" s="27" t="s">
        <v>43</v>
      </c>
      <c r="C18" s="187"/>
      <c r="D18" s="43">
        <v>0.18</v>
      </c>
      <c r="E18" s="43">
        <v>0.18</v>
      </c>
      <c r="F18" s="43">
        <v>0.17</v>
      </c>
      <c r="G18" s="188">
        <v>0.27</v>
      </c>
      <c r="H18" s="43">
        <v>0.13</v>
      </c>
      <c r="I18" s="43">
        <v>0.11</v>
      </c>
      <c r="J18" s="188">
        <v>0.06</v>
      </c>
      <c r="K18" s="43">
        <v>0.14</v>
      </c>
      <c r="L18" s="174"/>
    </row>
    <row r="19">
      <c r="B19" s="35" t="s">
        <v>45</v>
      </c>
      <c r="C19" s="189"/>
      <c r="D19" s="59">
        <f t="shared" ref="D19:K19" si="3">D18*(D17)</f>
        <v>0.036</v>
      </c>
      <c r="E19" s="59">
        <f t="shared" si="3"/>
        <v>0.036</v>
      </c>
      <c r="F19" s="59">
        <f t="shared" si="3"/>
        <v>0.034</v>
      </c>
      <c r="G19" s="59">
        <f t="shared" si="3"/>
        <v>0.054</v>
      </c>
      <c r="H19" s="59">
        <f t="shared" si="3"/>
        <v>0.026</v>
      </c>
      <c r="I19" s="59">
        <f t="shared" si="3"/>
        <v>0.022</v>
      </c>
      <c r="J19" s="59">
        <f t="shared" si="3"/>
        <v>0.012</v>
      </c>
      <c r="K19" s="59">
        <f t="shared" si="3"/>
        <v>0.028</v>
      </c>
      <c r="L19" s="174"/>
    </row>
    <row r="20">
      <c r="B20" s="35" t="s">
        <v>46</v>
      </c>
      <c r="C20" s="172">
        <f>sum(D20:K20)</f>
        <v>272894.72</v>
      </c>
      <c r="D20" s="62">
        <f t="shared" ref="D20:K20" si="4">D19*D10*D$13*(1-D$14)</f>
        <v>80438.4</v>
      </c>
      <c r="E20" s="62">
        <f t="shared" si="4"/>
        <v>30164.4</v>
      </c>
      <c r="F20" s="62">
        <f t="shared" si="4"/>
        <v>23740.5</v>
      </c>
      <c r="G20" s="62">
        <f t="shared" si="4"/>
        <v>62842.5</v>
      </c>
      <c r="H20" s="62">
        <f t="shared" si="4"/>
        <v>24206</v>
      </c>
      <c r="I20" s="62">
        <f t="shared" si="4"/>
        <v>20482</v>
      </c>
      <c r="J20" s="62">
        <f t="shared" si="4"/>
        <v>4105.71</v>
      </c>
      <c r="K20" s="62">
        <f t="shared" si="4"/>
        <v>26915.21</v>
      </c>
      <c r="L20" s="190"/>
    </row>
    <row r="21" ht="15.75" customHeight="1">
      <c r="B21" s="64"/>
      <c r="C21" s="183"/>
      <c r="D21" s="183"/>
      <c r="E21" s="183"/>
      <c r="F21" s="183"/>
      <c r="G21" s="185"/>
      <c r="H21" s="183"/>
      <c r="I21" s="183"/>
      <c r="J21" s="185"/>
      <c r="K21" s="183"/>
      <c r="L21" s="163"/>
    </row>
    <row r="22" ht="15.75" customHeight="1">
      <c r="B22" s="48" t="s">
        <v>47</v>
      </c>
      <c r="C22" s="191"/>
      <c r="D22" s="192"/>
      <c r="E22" s="192"/>
      <c r="F22" s="191"/>
      <c r="G22" s="193"/>
      <c r="H22" s="192"/>
      <c r="I22" s="191"/>
      <c r="J22" s="193"/>
      <c r="K22" s="192"/>
      <c r="L22" s="163"/>
    </row>
    <row r="23" ht="15.75" customHeight="1">
      <c r="B23" s="27" t="s">
        <v>48</v>
      </c>
      <c r="C23" s="187"/>
      <c r="D23" s="43">
        <f t="shared" ref="D23:K23" si="5">0.1</f>
        <v>0.1</v>
      </c>
      <c r="E23" s="43">
        <f t="shared" si="5"/>
        <v>0.1</v>
      </c>
      <c r="F23" s="43">
        <f t="shared" si="5"/>
        <v>0.1</v>
      </c>
      <c r="G23" s="43">
        <f t="shared" si="5"/>
        <v>0.1</v>
      </c>
      <c r="H23" s="43">
        <f t="shared" si="5"/>
        <v>0.1</v>
      </c>
      <c r="I23" s="43">
        <f t="shared" si="5"/>
        <v>0.1</v>
      </c>
      <c r="J23" s="43">
        <f t="shared" si="5"/>
        <v>0.1</v>
      </c>
      <c r="K23" s="43">
        <f t="shared" si="5"/>
        <v>0.1</v>
      </c>
      <c r="L23" s="174"/>
    </row>
    <row r="24" ht="15.75" customHeight="1">
      <c r="B24" s="27" t="s">
        <v>49</v>
      </c>
      <c r="C24" s="187"/>
      <c r="D24" s="43">
        <f t="shared" ref="D24:E24" si="6"> 4.5/(49-15)</f>
        <v>0.1323529412</v>
      </c>
      <c r="E24" s="43">
        <f t="shared" si="6"/>
        <v>0.1323529412</v>
      </c>
      <c r="F24" s="69">
        <f t="shared" ref="F24:G24" si="7"> 3.8/(49-15)</f>
        <v>0.1117647059</v>
      </c>
      <c r="G24" s="69">
        <f t="shared" si="7"/>
        <v>0.1117647059</v>
      </c>
      <c r="H24" s="43">
        <f> 4.4/(49-15)</f>
        <v>0.1294117647</v>
      </c>
      <c r="I24" s="69">
        <f> 4.9/(49-15)</f>
        <v>0.1441176471</v>
      </c>
      <c r="J24" s="69">
        <f> 5.8/(49-15)</f>
        <v>0.1705882353</v>
      </c>
      <c r="K24" s="69">
        <f> 5.3/(49-15)</f>
        <v>0.1558823529</v>
      </c>
      <c r="L24" s="174"/>
    </row>
    <row r="25" ht="15.75" customHeight="1">
      <c r="B25" s="35" t="s">
        <v>50</v>
      </c>
      <c r="C25" s="189"/>
      <c r="D25" s="71">
        <f t="shared" ref="D25:K25" si="8">D24*(D23)</f>
        <v>0.01323529412</v>
      </c>
      <c r="E25" s="71">
        <f t="shared" si="8"/>
        <v>0.01323529412</v>
      </c>
      <c r="F25" s="71">
        <f t="shared" si="8"/>
        <v>0.01117647059</v>
      </c>
      <c r="G25" s="71">
        <f t="shared" si="8"/>
        <v>0.01117647059</v>
      </c>
      <c r="H25" s="71">
        <f t="shared" si="8"/>
        <v>0.01294117647</v>
      </c>
      <c r="I25" s="71">
        <f t="shared" si="8"/>
        <v>0.01441176471</v>
      </c>
      <c r="J25" s="71">
        <f t="shared" si="8"/>
        <v>0.01705882353</v>
      </c>
      <c r="K25" s="71">
        <f t="shared" si="8"/>
        <v>0.01558823529</v>
      </c>
      <c r="L25" s="174"/>
    </row>
    <row r="26" ht="15.75" customHeight="1">
      <c r="B26" s="35" t="s">
        <v>51</v>
      </c>
      <c r="C26" s="194"/>
      <c r="D26" s="73">
        <f t="shared" ref="D26:K26" si="9">D25*D10*D$13*(1-D$14)</f>
        <v>29572.94118</v>
      </c>
      <c r="E26" s="73">
        <f t="shared" si="9"/>
        <v>11089.85294</v>
      </c>
      <c r="F26" s="73">
        <f t="shared" si="9"/>
        <v>7803.970588</v>
      </c>
      <c r="G26" s="73">
        <f t="shared" si="9"/>
        <v>13006.61765</v>
      </c>
      <c r="H26" s="73">
        <f t="shared" si="9"/>
        <v>12048.23529</v>
      </c>
      <c r="I26" s="73">
        <f t="shared" si="9"/>
        <v>13417.35294</v>
      </c>
      <c r="J26" s="73">
        <f t="shared" si="9"/>
        <v>5836.548529</v>
      </c>
      <c r="K26" s="73">
        <f t="shared" si="9"/>
        <v>14984.30809</v>
      </c>
      <c r="L26" s="174"/>
    </row>
    <row r="27" ht="15.75" customHeight="1">
      <c r="B27" s="27" t="s">
        <v>52</v>
      </c>
      <c r="C27" s="172"/>
      <c r="D27" s="75">
        <f t="shared" ref="D27:G27" si="10">(63+11)/100</f>
        <v>0.74</v>
      </c>
      <c r="E27" s="75">
        <f t="shared" si="10"/>
        <v>0.74</v>
      </c>
      <c r="F27" s="75">
        <f t="shared" si="10"/>
        <v>0.74</v>
      </c>
      <c r="G27" s="75">
        <f t="shared" si="10"/>
        <v>0.74</v>
      </c>
      <c r="H27" s="70">
        <f t="shared" ref="H27:I27" si="11">(52+16)/100</f>
        <v>0.68</v>
      </c>
      <c r="I27" s="70">
        <f t="shared" si="11"/>
        <v>0.68</v>
      </c>
      <c r="J27" s="70">
        <f t="shared" ref="J27:K27" si="12">(65+8)/100</f>
        <v>0.73</v>
      </c>
      <c r="K27" s="70">
        <f t="shared" si="12"/>
        <v>0.73</v>
      </c>
      <c r="L27" s="174"/>
    </row>
    <row r="28" ht="15.75" customHeight="1">
      <c r="B28" s="35" t="s">
        <v>47</v>
      </c>
      <c r="C28" s="172">
        <f>sum(D28:K28)</f>
        <v>149043.2542</v>
      </c>
      <c r="D28" s="86">
        <f t="shared" ref="D28:K28" si="13">D26/D27</f>
        <v>39963.43402</v>
      </c>
      <c r="E28" s="86">
        <f t="shared" si="13"/>
        <v>14986.28776</v>
      </c>
      <c r="F28" s="86">
        <f t="shared" si="13"/>
        <v>10545.9062</v>
      </c>
      <c r="G28" s="86">
        <f t="shared" si="13"/>
        <v>17576.51033</v>
      </c>
      <c r="H28" s="86">
        <f t="shared" si="13"/>
        <v>17717.99308</v>
      </c>
      <c r="I28" s="86">
        <f t="shared" si="13"/>
        <v>19731.40138</v>
      </c>
      <c r="J28" s="86">
        <f t="shared" si="13"/>
        <v>7995.271958</v>
      </c>
      <c r="K28" s="86">
        <f t="shared" si="13"/>
        <v>20526.44944</v>
      </c>
      <c r="L28" s="190"/>
    </row>
    <row r="29" ht="15.75" customHeight="1">
      <c r="B29" s="77"/>
      <c r="C29" s="195"/>
      <c r="D29" s="79"/>
      <c r="E29" s="79"/>
      <c r="F29" s="80"/>
      <c r="G29" s="196"/>
      <c r="H29" s="79"/>
      <c r="I29" s="80"/>
      <c r="J29" s="196"/>
      <c r="K29" s="79"/>
      <c r="L29" s="190"/>
    </row>
    <row r="30" ht="15.75" customHeight="1">
      <c r="B30" s="64" t="s">
        <v>54</v>
      </c>
      <c r="C30" s="195"/>
      <c r="D30" s="81"/>
      <c r="E30" s="81"/>
      <c r="F30" s="82"/>
      <c r="G30" s="196"/>
      <c r="H30" s="81"/>
      <c r="I30" s="82"/>
      <c r="J30" s="196"/>
      <c r="K30" s="81"/>
      <c r="L30" s="190"/>
    </row>
    <row r="31" ht="15.75" customHeight="1">
      <c r="B31" s="53" t="s">
        <v>55</v>
      </c>
      <c r="C31" s="172"/>
      <c r="D31" s="83">
        <v>0.13</v>
      </c>
      <c r="E31" s="83">
        <v>0.11</v>
      </c>
      <c r="F31" s="83">
        <v>0.11</v>
      </c>
      <c r="G31" s="83">
        <v>0.11</v>
      </c>
      <c r="H31" s="83">
        <v>0.17</v>
      </c>
      <c r="I31" s="83">
        <v>0.17</v>
      </c>
      <c r="J31" s="197">
        <v>0.12</v>
      </c>
      <c r="K31" s="83">
        <v>0.12</v>
      </c>
      <c r="L31" s="174"/>
    </row>
    <row r="32" ht="15.75" customHeight="1">
      <c r="B32" s="53" t="s">
        <v>56</v>
      </c>
      <c r="C32" s="172"/>
      <c r="D32" s="83">
        <v>0.4</v>
      </c>
      <c r="E32" s="83">
        <v>0.4</v>
      </c>
      <c r="F32" s="83">
        <v>0.4</v>
      </c>
      <c r="G32" s="83">
        <v>0.4</v>
      </c>
      <c r="H32" s="83">
        <v>0.4</v>
      </c>
      <c r="I32" s="83">
        <v>0.4</v>
      </c>
      <c r="J32" s="83">
        <v>0.4</v>
      </c>
      <c r="K32" s="83">
        <v>0.4</v>
      </c>
      <c r="L32" s="174"/>
    </row>
    <row r="33" ht="15.75" customHeight="1">
      <c r="B33" s="85" t="s">
        <v>57</v>
      </c>
      <c r="C33" s="172">
        <f t="shared" ref="C33:C34" si="15">sum(D33:K33)</f>
        <v>19726.20752</v>
      </c>
      <c r="D33" s="86">
        <f t="shared" ref="D33:K33" si="14">D28*D31</f>
        <v>5195.246423</v>
      </c>
      <c r="E33" s="86">
        <f t="shared" si="14"/>
        <v>1648.491653</v>
      </c>
      <c r="F33" s="86">
        <f t="shared" si="14"/>
        <v>1160.049682</v>
      </c>
      <c r="G33" s="86">
        <f t="shared" si="14"/>
        <v>1933.416137</v>
      </c>
      <c r="H33" s="86">
        <f t="shared" si="14"/>
        <v>3012.058824</v>
      </c>
      <c r="I33" s="86">
        <f t="shared" si="14"/>
        <v>3354.338235</v>
      </c>
      <c r="J33" s="86">
        <f t="shared" si="14"/>
        <v>959.432635</v>
      </c>
      <c r="K33" s="86">
        <f t="shared" si="14"/>
        <v>2463.173932</v>
      </c>
      <c r="L33" s="190"/>
    </row>
    <row r="34" ht="15.75" customHeight="1">
      <c r="B34" s="8" t="s">
        <v>58</v>
      </c>
      <c r="C34" s="172">
        <f t="shared" si="15"/>
        <v>7890.483008</v>
      </c>
      <c r="D34" s="86">
        <f t="shared" ref="D34:K34" si="16">D33*D32</f>
        <v>2078.098569</v>
      </c>
      <c r="E34" s="86">
        <f t="shared" si="16"/>
        <v>659.3966614</v>
      </c>
      <c r="F34" s="86">
        <f t="shared" si="16"/>
        <v>464.0198728</v>
      </c>
      <c r="G34" s="86">
        <f t="shared" si="16"/>
        <v>773.3664547</v>
      </c>
      <c r="H34" s="86">
        <f t="shared" si="16"/>
        <v>1204.823529</v>
      </c>
      <c r="I34" s="86">
        <f t="shared" si="16"/>
        <v>1341.735294</v>
      </c>
      <c r="J34" s="86">
        <f t="shared" si="16"/>
        <v>383.773054</v>
      </c>
      <c r="K34" s="86">
        <f t="shared" si="16"/>
        <v>985.2695729</v>
      </c>
      <c r="L34" s="190"/>
    </row>
    <row r="35" ht="15.75" customHeight="1">
      <c r="B35" s="77"/>
      <c r="C35" s="195"/>
      <c r="D35" s="79"/>
      <c r="E35" s="79"/>
      <c r="F35" s="80"/>
      <c r="G35" s="196"/>
      <c r="H35" s="79"/>
      <c r="I35" s="80"/>
      <c r="J35" s="196"/>
      <c r="K35" s="79"/>
      <c r="L35" s="190"/>
    </row>
    <row r="36" ht="15.75" customHeight="1">
      <c r="B36" s="48" t="s">
        <v>59</v>
      </c>
      <c r="C36" s="198"/>
      <c r="D36" s="88"/>
      <c r="E36" s="198"/>
      <c r="F36" s="198"/>
      <c r="G36" s="199"/>
      <c r="H36" s="198"/>
      <c r="I36" s="198"/>
      <c r="J36" s="200"/>
      <c r="K36" s="198"/>
      <c r="L36" s="163"/>
    </row>
    <row r="37" ht="15.75" customHeight="1">
      <c r="B37" s="53" t="s">
        <v>60</v>
      </c>
      <c r="C37" s="201"/>
      <c r="D37" s="91">
        <v>3000.0</v>
      </c>
      <c r="E37" s="91">
        <v>1000.0</v>
      </c>
      <c r="F37" s="92">
        <v>900.0</v>
      </c>
      <c r="G37" s="172">
        <v>800.0</v>
      </c>
      <c r="H37" s="91">
        <v>900.0</v>
      </c>
      <c r="I37" s="92">
        <v>1000.0</v>
      </c>
      <c r="J37" s="92">
        <v>1000.0</v>
      </c>
      <c r="K37" s="92">
        <v>500.0</v>
      </c>
      <c r="L37" s="174"/>
    </row>
    <row r="38" ht="15.75" customHeight="1">
      <c r="B38" s="53" t="s">
        <v>62</v>
      </c>
      <c r="C38" s="201"/>
      <c r="D38" s="91">
        <v>575000.0</v>
      </c>
      <c r="E38" s="91">
        <v>235000.0</v>
      </c>
      <c r="F38" s="92">
        <v>156000.0</v>
      </c>
      <c r="G38" s="172">
        <v>145000.0</v>
      </c>
      <c r="H38" s="91">
        <v>163000.0</v>
      </c>
      <c r="I38" s="92">
        <v>125000.0</v>
      </c>
      <c r="J38" s="202">
        <v>195000.0</v>
      </c>
      <c r="K38" s="91">
        <v>91000.0</v>
      </c>
      <c r="L38" s="174"/>
    </row>
    <row r="39" ht="15.75" customHeight="1">
      <c r="B39" s="120" t="s">
        <v>63</v>
      </c>
      <c r="C39" s="201"/>
      <c r="D39" s="95">
        <f t="shared" ref="D39:K39" si="17">D37/D38</f>
        <v>0.005217391304</v>
      </c>
      <c r="E39" s="203">
        <f t="shared" si="17"/>
        <v>0.004255319149</v>
      </c>
      <c r="F39" s="203">
        <f t="shared" si="17"/>
        <v>0.005769230769</v>
      </c>
      <c r="G39" s="203">
        <f t="shared" si="17"/>
        <v>0.005517241379</v>
      </c>
      <c r="H39" s="203">
        <f t="shared" si="17"/>
        <v>0.005521472393</v>
      </c>
      <c r="I39" s="203">
        <f t="shared" si="17"/>
        <v>0.008</v>
      </c>
      <c r="J39" s="203">
        <f t="shared" si="17"/>
        <v>0.005128205128</v>
      </c>
      <c r="K39" s="203">
        <f t="shared" si="17"/>
        <v>0.005494505495</v>
      </c>
      <c r="L39" s="204"/>
    </row>
    <row r="40" ht="15.75" customHeight="1">
      <c r="B40" s="8" t="s">
        <v>59</v>
      </c>
      <c r="C40" s="205"/>
      <c r="D40" s="98">
        <f t="shared" ref="D40:K40" si="18">D26*D39</f>
        <v>154.2936061</v>
      </c>
      <c r="E40" s="98">
        <f t="shared" si="18"/>
        <v>47.19086358</v>
      </c>
      <c r="F40" s="98">
        <f t="shared" si="18"/>
        <v>45.02290724</v>
      </c>
      <c r="G40" s="98">
        <f t="shared" si="18"/>
        <v>71.76064909</v>
      </c>
      <c r="H40" s="98">
        <f t="shared" si="18"/>
        <v>66.52399856</v>
      </c>
      <c r="I40" s="98">
        <f t="shared" si="18"/>
        <v>107.3388235</v>
      </c>
      <c r="J40" s="98">
        <f t="shared" si="18"/>
        <v>29.9310181</v>
      </c>
      <c r="K40" s="98">
        <f t="shared" si="18"/>
        <v>82.33136312</v>
      </c>
      <c r="L40" s="204"/>
    </row>
    <row r="41" ht="15.75" customHeight="1">
      <c r="B41" s="100"/>
      <c r="C41" s="206" t="s">
        <v>64</v>
      </c>
      <c r="D41" s="102"/>
      <c r="E41" s="102"/>
      <c r="F41" s="103"/>
      <c r="G41" s="207" t="s">
        <v>64</v>
      </c>
      <c r="H41" s="102"/>
      <c r="I41" s="103"/>
      <c r="J41" s="207" t="s">
        <v>64</v>
      </c>
      <c r="K41" s="102"/>
      <c r="L41" s="208"/>
    </row>
    <row r="42" ht="15.75" customHeight="1">
      <c r="B42" s="36" t="s">
        <v>65</v>
      </c>
      <c r="C42" s="177"/>
      <c r="D42" s="107"/>
      <c r="E42" s="107"/>
      <c r="F42" s="108"/>
      <c r="G42" s="209"/>
      <c r="H42" s="107"/>
      <c r="I42" s="108"/>
      <c r="J42" s="209"/>
      <c r="K42" s="107"/>
      <c r="L42" s="208"/>
    </row>
    <row r="43" ht="15.75" customHeight="1">
      <c r="B43" s="27" t="s">
        <v>66</v>
      </c>
      <c r="C43" s="187"/>
      <c r="D43" s="109">
        <v>0.003</v>
      </c>
      <c r="E43" s="110">
        <v>0.002</v>
      </c>
      <c r="F43" s="110">
        <v>0.002</v>
      </c>
      <c r="G43" s="110">
        <v>0.002</v>
      </c>
      <c r="H43" s="110">
        <v>0.005</v>
      </c>
      <c r="I43" s="110">
        <v>0.005</v>
      </c>
      <c r="J43" s="110">
        <v>0.008</v>
      </c>
      <c r="K43" s="111">
        <v>0.008</v>
      </c>
      <c r="L43" s="208"/>
    </row>
    <row r="44" ht="15.75" customHeight="1">
      <c r="B44" s="27" t="s">
        <v>68</v>
      </c>
      <c r="C44" s="187"/>
      <c r="D44" s="113">
        <f t="shared" ref="D44:D45" si="19"> 6.5/(49-15)</f>
        <v>0.1911764706</v>
      </c>
      <c r="E44" s="113">
        <v>0.2</v>
      </c>
      <c r="F44" s="113">
        <v>0.2</v>
      </c>
      <c r="G44" s="113">
        <v>0.2</v>
      </c>
      <c r="H44" s="113">
        <v>0.107</v>
      </c>
      <c r="I44" s="113">
        <v>0.107</v>
      </c>
      <c r="J44" s="113">
        <v>0.3</v>
      </c>
      <c r="K44" s="113">
        <v>0.3</v>
      </c>
      <c r="L44" s="204"/>
    </row>
    <row r="45" ht="15.75" customHeight="1">
      <c r="B45" s="27" t="s">
        <v>70</v>
      </c>
      <c r="C45" s="187"/>
      <c r="D45" s="33">
        <f t="shared" si="19"/>
        <v>0.1911764706</v>
      </c>
      <c r="E45" s="113">
        <v>0.14</v>
      </c>
      <c r="F45" s="113">
        <v>0.14</v>
      </c>
      <c r="G45" s="113">
        <v>0.14</v>
      </c>
      <c r="H45" s="113">
        <v>0.14</v>
      </c>
      <c r="I45" s="113">
        <v>0.14</v>
      </c>
      <c r="J45" s="113">
        <v>0.14</v>
      </c>
      <c r="K45" s="113">
        <v>0.14</v>
      </c>
      <c r="L45" s="174"/>
    </row>
    <row r="46" ht="15.75" customHeight="1">
      <c r="B46" s="27" t="s">
        <v>72</v>
      </c>
      <c r="C46" s="187"/>
      <c r="D46" s="118">
        <v>0.43</v>
      </c>
      <c r="E46" s="118">
        <v>0.43</v>
      </c>
      <c r="F46" s="118">
        <v>0.43</v>
      </c>
      <c r="G46" s="118">
        <v>0.43</v>
      </c>
      <c r="H46" s="118">
        <v>0.43</v>
      </c>
      <c r="I46" s="118">
        <v>0.43</v>
      </c>
      <c r="J46" s="118">
        <v>0.43</v>
      </c>
      <c r="K46" s="119">
        <v>0.43</v>
      </c>
      <c r="L46" s="204"/>
    </row>
    <row r="47" ht="15.75" customHeight="1">
      <c r="B47" s="27" t="s">
        <v>74</v>
      </c>
      <c r="C47" s="201"/>
      <c r="D47" s="119">
        <v>0.35</v>
      </c>
      <c r="E47" s="119">
        <v>0.35</v>
      </c>
      <c r="F47" s="119">
        <v>0.35</v>
      </c>
      <c r="G47" s="119">
        <v>0.35</v>
      </c>
      <c r="H47" s="119">
        <v>0.35</v>
      </c>
      <c r="I47" s="119">
        <v>0.35</v>
      </c>
      <c r="J47" s="119">
        <v>0.35</v>
      </c>
      <c r="K47" s="119">
        <v>0.35</v>
      </c>
      <c r="L47" s="174"/>
    </row>
    <row r="48" ht="15.75" customHeight="1">
      <c r="B48" s="27" t="s">
        <v>75</v>
      </c>
      <c r="C48" s="201"/>
      <c r="D48" s="119">
        <v>0.093</v>
      </c>
      <c r="E48" s="119">
        <v>0.093</v>
      </c>
      <c r="F48" s="119">
        <v>0.093</v>
      </c>
      <c r="G48" s="119">
        <v>0.093</v>
      </c>
      <c r="H48" s="119">
        <v>0.093</v>
      </c>
      <c r="I48" s="119">
        <v>0.093</v>
      </c>
      <c r="J48" s="119">
        <v>0.093</v>
      </c>
      <c r="K48" s="119">
        <v>0.093</v>
      </c>
      <c r="L48" s="174"/>
    </row>
    <row r="49" ht="15.75" customHeight="1">
      <c r="B49" s="53" t="s">
        <v>76</v>
      </c>
      <c r="C49" s="201"/>
      <c r="D49" s="119">
        <f t="shared" ref="D49:K49" si="20">55.7-20.4</f>
        <v>35.3</v>
      </c>
      <c r="E49" s="119">
        <f t="shared" si="20"/>
        <v>35.3</v>
      </c>
      <c r="F49" s="119">
        <f t="shared" si="20"/>
        <v>35.3</v>
      </c>
      <c r="G49" s="119">
        <f t="shared" si="20"/>
        <v>35.3</v>
      </c>
      <c r="H49" s="119">
        <f t="shared" si="20"/>
        <v>35.3</v>
      </c>
      <c r="I49" s="119">
        <f t="shared" si="20"/>
        <v>35.3</v>
      </c>
      <c r="J49" s="119">
        <f t="shared" si="20"/>
        <v>35.3</v>
      </c>
      <c r="K49" s="119">
        <f t="shared" si="20"/>
        <v>35.3</v>
      </c>
      <c r="L49" s="174"/>
    </row>
    <row r="50" ht="15.75" customHeight="1">
      <c r="B50" s="53" t="s">
        <v>77</v>
      </c>
      <c r="C50" s="201"/>
      <c r="D50" s="119">
        <v>1.0</v>
      </c>
      <c r="E50" s="119">
        <v>1.0</v>
      </c>
      <c r="F50" s="119">
        <v>1.0</v>
      </c>
      <c r="G50" s="119">
        <v>1.0</v>
      </c>
      <c r="H50" s="119">
        <v>1.0</v>
      </c>
      <c r="I50" s="119">
        <v>1.0</v>
      </c>
      <c r="J50" s="119">
        <v>1.0</v>
      </c>
      <c r="K50" s="119">
        <v>1.0</v>
      </c>
      <c r="L50" s="174"/>
    </row>
    <row r="51" ht="15.75" customHeight="1">
      <c r="B51" s="53" t="s">
        <v>78</v>
      </c>
      <c r="C51" s="201"/>
      <c r="D51" s="119">
        <v>0.5</v>
      </c>
      <c r="E51" s="119">
        <v>0.5</v>
      </c>
      <c r="F51" s="119">
        <v>0.5</v>
      </c>
      <c r="G51" s="119">
        <v>0.5</v>
      </c>
      <c r="H51" s="119">
        <v>0.5</v>
      </c>
      <c r="I51" s="119">
        <v>0.5</v>
      </c>
      <c r="J51" s="119">
        <v>0.5</v>
      </c>
      <c r="K51" s="119">
        <v>0.5</v>
      </c>
      <c r="L51" s="174"/>
    </row>
    <row r="52" ht="15.75" customHeight="1">
      <c r="B52" s="120" t="s">
        <v>79</v>
      </c>
      <c r="C52" s="201"/>
      <c r="D52" s="121">
        <f t="shared" ref="D52:K52" si="21">D$26*D43*D46*D49</f>
        <v>1346.663022</v>
      </c>
      <c r="E52" s="121">
        <f t="shared" si="21"/>
        <v>336.6657556</v>
      </c>
      <c r="F52" s="121">
        <f t="shared" si="21"/>
        <v>236.9129391</v>
      </c>
      <c r="G52" s="121">
        <f t="shared" si="21"/>
        <v>394.8548985</v>
      </c>
      <c r="H52" s="121">
        <f t="shared" si="21"/>
        <v>914.4008176</v>
      </c>
      <c r="I52" s="121">
        <f t="shared" si="21"/>
        <v>1018.310001</v>
      </c>
      <c r="J52" s="121">
        <f t="shared" si="21"/>
        <v>708.743761</v>
      </c>
      <c r="K52" s="121">
        <f t="shared" si="21"/>
        <v>1819.5745</v>
      </c>
      <c r="L52" s="204"/>
    </row>
    <row r="53" ht="15.75" customHeight="1">
      <c r="B53" s="120" t="s">
        <v>80</v>
      </c>
      <c r="C53" s="201"/>
      <c r="D53" s="121">
        <f t="shared" ref="D53:K53" si="22">D$26*D44*D47*D50</f>
        <v>1978.777682</v>
      </c>
      <c r="E53" s="121">
        <f t="shared" si="22"/>
        <v>776.2897059</v>
      </c>
      <c r="F53" s="121">
        <f t="shared" si="22"/>
        <v>546.2779412</v>
      </c>
      <c r="G53" s="121">
        <f t="shared" si="22"/>
        <v>910.4632353</v>
      </c>
      <c r="H53" s="121">
        <f t="shared" si="22"/>
        <v>451.2064118</v>
      </c>
      <c r="I53" s="121">
        <f t="shared" si="22"/>
        <v>502.4798676</v>
      </c>
      <c r="J53" s="121">
        <f t="shared" si="22"/>
        <v>612.8375956</v>
      </c>
      <c r="K53" s="121">
        <f t="shared" si="22"/>
        <v>1573.352349</v>
      </c>
      <c r="L53" s="204"/>
    </row>
    <row r="54" ht="15.75" customHeight="1">
      <c r="B54" s="120" t="s">
        <v>81</v>
      </c>
      <c r="C54" s="201"/>
      <c r="D54" s="121">
        <f t="shared" ref="D54:K54" si="23">D$26*D45*D48*D51</f>
        <v>262.8947491</v>
      </c>
      <c r="E54" s="121">
        <f t="shared" si="23"/>
        <v>72.19494265</v>
      </c>
      <c r="F54" s="121">
        <f t="shared" si="23"/>
        <v>50.80384853</v>
      </c>
      <c r="G54" s="121">
        <f t="shared" si="23"/>
        <v>84.67308088</v>
      </c>
      <c r="H54" s="121">
        <f t="shared" si="23"/>
        <v>78.43401176</v>
      </c>
      <c r="I54" s="121">
        <f t="shared" si="23"/>
        <v>87.34696765</v>
      </c>
      <c r="J54" s="121">
        <f t="shared" si="23"/>
        <v>37.99593093</v>
      </c>
      <c r="K54" s="121">
        <f t="shared" si="23"/>
        <v>97.54784565</v>
      </c>
      <c r="L54" s="204"/>
    </row>
    <row r="55" ht="15.75" customHeight="1">
      <c r="B55" s="8" t="s">
        <v>24</v>
      </c>
      <c r="C55" s="172">
        <f>sum(D55:K55)</f>
        <v>14899.70186</v>
      </c>
      <c r="D55" s="124">
        <f t="shared" ref="D55:K55" si="24">sum(D52:D54)</f>
        <v>3588.335453</v>
      </c>
      <c r="E55" s="124">
        <f t="shared" si="24"/>
        <v>1185.150404</v>
      </c>
      <c r="F55" s="124">
        <f t="shared" si="24"/>
        <v>833.9947288</v>
      </c>
      <c r="G55" s="124">
        <f t="shared" si="24"/>
        <v>1389.991215</v>
      </c>
      <c r="H55" s="124">
        <f t="shared" si="24"/>
        <v>1444.041241</v>
      </c>
      <c r="I55" s="124">
        <f t="shared" si="24"/>
        <v>1608.136837</v>
      </c>
      <c r="J55" s="124">
        <f t="shared" si="24"/>
        <v>1359.577288</v>
      </c>
      <c r="K55" s="124">
        <f t="shared" si="24"/>
        <v>3490.474695</v>
      </c>
      <c r="L55" s="204"/>
    </row>
    <row r="56" ht="15.75" customHeight="1">
      <c r="B56" s="100"/>
      <c r="C56" s="206"/>
      <c r="D56" s="125"/>
      <c r="E56" s="125"/>
      <c r="F56" s="125"/>
      <c r="G56" s="207"/>
      <c r="H56" s="125"/>
      <c r="I56" s="125"/>
      <c r="J56" s="207"/>
      <c r="K56" s="125"/>
      <c r="L56" s="204"/>
    </row>
    <row r="57" ht="15.75" customHeight="1">
      <c r="B57" s="36" t="s">
        <v>82</v>
      </c>
      <c r="C57" s="176"/>
      <c r="D57" s="127"/>
      <c r="E57" s="127"/>
      <c r="F57" s="127"/>
      <c r="G57" s="178"/>
      <c r="H57" s="127"/>
      <c r="I57" s="127"/>
      <c r="J57" s="178"/>
      <c r="K57" s="127"/>
      <c r="L57" s="174"/>
    </row>
    <row r="58" ht="15.75" customHeight="1">
      <c r="B58" s="130" t="s">
        <v>83</v>
      </c>
      <c r="C58" s="179"/>
      <c r="D58" s="131">
        <v>30.0</v>
      </c>
      <c r="E58" s="131">
        <v>30.0</v>
      </c>
      <c r="F58" s="131">
        <v>30.0</v>
      </c>
      <c r="G58" s="131">
        <v>30.0</v>
      </c>
      <c r="H58" s="131">
        <v>30.0</v>
      </c>
      <c r="I58" s="131">
        <v>30.0</v>
      </c>
      <c r="J58" s="131">
        <v>30.0</v>
      </c>
      <c r="K58" s="132">
        <v>30.0</v>
      </c>
      <c r="L58" s="174"/>
    </row>
    <row r="59" ht="15.75" customHeight="1">
      <c r="B59" s="85" t="s">
        <v>25</v>
      </c>
      <c r="C59" s="172">
        <f t="shared" ref="C59:C60" si="26">sum(D59:K59)</f>
        <v>33031.49874</v>
      </c>
      <c r="D59" s="135">
        <f t="shared" ref="D59:K59" si="25">D55+D40*D58</f>
        <v>8217.143637</v>
      </c>
      <c r="E59" s="135">
        <f t="shared" si="25"/>
        <v>2600.876312</v>
      </c>
      <c r="F59" s="135">
        <f t="shared" si="25"/>
        <v>2184.681946</v>
      </c>
      <c r="G59" s="135">
        <f t="shared" si="25"/>
        <v>3542.810687</v>
      </c>
      <c r="H59" s="135">
        <f t="shared" si="25"/>
        <v>3439.761198</v>
      </c>
      <c r="I59" s="135">
        <f t="shared" si="25"/>
        <v>4828.301543</v>
      </c>
      <c r="J59" s="135">
        <f t="shared" si="25"/>
        <v>2257.507831</v>
      </c>
      <c r="K59" s="135">
        <f t="shared" si="25"/>
        <v>5960.415588</v>
      </c>
      <c r="L59" s="174"/>
    </row>
    <row r="60" ht="15.75" customHeight="1">
      <c r="B60" s="85" t="s">
        <v>26</v>
      </c>
      <c r="C60" s="172">
        <f t="shared" si="26"/>
        <v>1101.049958</v>
      </c>
      <c r="D60" s="135">
        <f t="shared" ref="D60:K60" si="27">D59/D58</f>
        <v>273.9047879</v>
      </c>
      <c r="E60" s="135">
        <f t="shared" si="27"/>
        <v>86.69587705</v>
      </c>
      <c r="F60" s="135">
        <f t="shared" si="27"/>
        <v>72.82273153</v>
      </c>
      <c r="G60" s="135">
        <f t="shared" si="27"/>
        <v>118.0936896</v>
      </c>
      <c r="H60" s="135">
        <f t="shared" si="27"/>
        <v>114.6587066</v>
      </c>
      <c r="I60" s="135">
        <f t="shared" si="27"/>
        <v>160.9433848</v>
      </c>
      <c r="J60" s="135">
        <f t="shared" si="27"/>
        <v>75.25026102</v>
      </c>
      <c r="K60" s="135">
        <f t="shared" si="27"/>
        <v>198.6805196</v>
      </c>
      <c r="L60" s="174"/>
    </row>
    <row r="61" ht="15.75" customHeight="1">
      <c r="B61" s="14"/>
      <c r="C61" s="162"/>
      <c r="D61" s="162"/>
      <c r="E61" s="138"/>
      <c r="F61" s="184"/>
      <c r="G61" s="161"/>
      <c r="H61" s="138"/>
      <c r="I61" s="184"/>
      <c r="J61" s="161"/>
      <c r="K61" s="138"/>
      <c r="L61" s="163"/>
    </row>
    <row r="62" ht="15.75" customHeight="1">
      <c r="A62" s="16"/>
      <c r="B62" s="14"/>
      <c r="C62" s="162"/>
      <c r="D62" s="162"/>
      <c r="E62" s="184"/>
      <c r="F62" s="184"/>
      <c r="G62" s="161"/>
      <c r="H62" s="184"/>
      <c r="I62" s="184"/>
      <c r="J62" s="161"/>
      <c r="K62" s="184"/>
      <c r="L62" s="163"/>
    </row>
    <row r="63" ht="15.75" customHeight="1">
      <c r="A63" s="16"/>
      <c r="B63" s="36" t="s">
        <v>82</v>
      </c>
      <c r="C63" s="176"/>
      <c r="D63" s="176"/>
      <c r="E63" s="210"/>
      <c r="F63" s="210"/>
      <c r="G63" s="178"/>
      <c r="H63" s="210"/>
      <c r="I63" s="210"/>
      <c r="J63" s="178"/>
      <c r="K63" s="210"/>
      <c r="L63" s="163"/>
    </row>
    <row r="64" ht="15.75" customHeight="1">
      <c r="A64" s="16"/>
      <c r="B64" s="85" t="s">
        <v>25</v>
      </c>
      <c r="C64" s="172">
        <f t="shared" ref="C64:C65" si="29">sum(D64:K64)</f>
        <v>33031.49874</v>
      </c>
      <c r="D64" s="211">
        <f t="shared" ref="D64:K64" si="28">D59</f>
        <v>8217.143637</v>
      </c>
      <c r="E64" s="211">
        <f t="shared" si="28"/>
        <v>2600.876312</v>
      </c>
      <c r="F64" s="211">
        <f t="shared" si="28"/>
        <v>2184.681946</v>
      </c>
      <c r="G64" s="211">
        <f t="shared" si="28"/>
        <v>3542.810687</v>
      </c>
      <c r="H64" s="211">
        <f t="shared" si="28"/>
        <v>3439.761198</v>
      </c>
      <c r="I64" s="211">
        <f t="shared" si="28"/>
        <v>4828.301543</v>
      </c>
      <c r="J64" s="211">
        <f t="shared" si="28"/>
        <v>2257.507831</v>
      </c>
      <c r="K64" s="211">
        <f t="shared" si="28"/>
        <v>5960.415588</v>
      </c>
      <c r="L64" s="163"/>
    </row>
    <row r="65" ht="15.75" customHeight="1">
      <c r="A65" s="16"/>
      <c r="B65" s="85" t="s">
        <v>26</v>
      </c>
      <c r="C65" s="172">
        <f t="shared" si="29"/>
        <v>1101.049958</v>
      </c>
      <c r="D65" s="211">
        <f t="shared" ref="D65:K65" si="30">D60</f>
        <v>273.9047879</v>
      </c>
      <c r="E65" s="211">
        <f t="shared" si="30"/>
        <v>86.69587705</v>
      </c>
      <c r="F65" s="211">
        <f t="shared" si="30"/>
        <v>72.82273153</v>
      </c>
      <c r="G65" s="211">
        <f t="shared" si="30"/>
        <v>118.0936896</v>
      </c>
      <c r="H65" s="211">
        <f t="shared" si="30"/>
        <v>114.6587066</v>
      </c>
      <c r="I65" s="211">
        <f t="shared" si="30"/>
        <v>160.9433848</v>
      </c>
      <c r="J65" s="211">
        <f t="shared" si="30"/>
        <v>75.25026102</v>
      </c>
      <c r="K65" s="211">
        <f t="shared" si="30"/>
        <v>198.6805196</v>
      </c>
      <c r="L65" s="212"/>
    </row>
    <row r="66" ht="15.75" customHeight="1">
      <c r="B66" s="18"/>
      <c r="C66" s="164"/>
      <c r="D66" s="164"/>
      <c r="E66" s="192"/>
      <c r="F66" s="192"/>
      <c r="G66" s="164"/>
      <c r="H66" s="192"/>
      <c r="I66" s="192"/>
      <c r="J66" s="164"/>
      <c r="K66" s="192"/>
      <c r="L66" s="163"/>
    </row>
    <row r="67" ht="15.75" customHeight="1">
      <c r="B67" s="139" t="s">
        <v>85</v>
      </c>
      <c r="C67" s="140" t="s">
        <v>1</v>
      </c>
      <c r="D67" s="140"/>
      <c r="E67" s="4" t="s">
        <v>6</v>
      </c>
      <c r="F67" s="5" t="s">
        <v>7</v>
      </c>
      <c r="G67" s="5" t="s">
        <v>110</v>
      </c>
      <c r="H67" s="5" t="s">
        <v>9</v>
      </c>
      <c r="I67" s="5" t="s">
        <v>10</v>
      </c>
      <c r="J67" s="5" t="s">
        <v>11</v>
      </c>
      <c r="K67" s="5" t="s">
        <v>12</v>
      </c>
      <c r="L67" s="163"/>
    </row>
    <row r="68" ht="15.75" customHeight="1">
      <c r="B68" s="32" t="s">
        <v>86</v>
      </c>
      <c r="C68" s="148"/>
      <c r="L68" s="212"/>
    </row>
    <row r="69" ht="15.75" customHeight="1">
      <c r="B69" s="213" t="s">
        <v>87</v>
      </c>
      <c r="C69" s="172">
        <f t="shared" ref="C69:C72" si="31">sum(D69:K69)</f>
        <v>25000</v>
      </c>
      <c r="D69" s="149">
        <v>2500.0</v>
      </c>
      <c r="E69" s="149">
        <v>2500.0</v>
      </c>
      <c r="F69" s="149">
        <v>2500.0</v>
      </c>
      <c r="G69" s="149">
        <v>2500.0</v>
      </c>
      <c r="H69" s="149">
        <v>2500.0</v>
      </c>
      <c r="I69" s="149">
        <v>2500.0</v>
      </c>
      <c r="J69" s="149">
        <v>5000.0</v>
      </c>
      <c r="K69" s="149">
        <v>5000.0</v>
      </c>
      <c r="L69" s="163"/>
    </row>
    <row r="70" ht="15.75" customHeight="1">
      <c r="B70" s="213" t="s">
        <v>88</v>
      </c>
      <c r="C70" s="172">
        <f t="shared" si="31"/>
        <v>1600000</v>
      </c>
      <c r="D70" s="149">
        <v>200000.0</v>
      </c>
      <c r="E70" s="149">
        <v>200000.0</v>
      </c>
      <c r="F70" s="149">
        <v>200000.0</v>
      </c>
      <c r="G70" s="149">
        <v>200000.0</v>
      </c>
      <c r="H70" s="149">
        <v>200000.0</v>
      </c>
      <c r="I70" s="149">
        <v>200000.0</v>
      </c>
      <c r="J70" s="149">
        <v>200000.0</v>
      </c>
      <c r="K70" s="149">
        <v>200000.0</v>
      </c>
      <c r="L70" s="163"/>
    </row>
    <row r="71" ht="15.75" customHeight="1">
      <c r="B71" s="213" t="s">
        <v>89</v>
      </c>
      <c r="C71" s="172">
        <f t="shared" si="31"/>
        <v>0</v>
      </c>
      <c r="D71" s="149">
        <v>0.0</v>
      </c>
      <c r="E71" s="149">
        <v>0.0</v>
      </c>
      <c r="F71" s="149">
        <v>0.0</v>
      </c>
      <c r="G71" s="149">
        <v>0.0</v>
      </c>
      <c r="H71" s="149">
        <v>0.0</v>
      </c>
      <c r="I71" s="149">
        <v>0.0</v>
      </c>
      <c r="J71" s="149">
        <v>0.0</v>
      </c>
      <c r="K71" s="149">
        <v>0.0</v>
      </c>
      <c r="L71" s="163"/>
    </row>
    <row r="72" ht="15.75" customHeight="1">
      <c r="B72" s="213" t="s">
        <v>111</v>
      </c>
      <c r="C72" s="172">
        <f t="shared" si="31"/>
        <v>240000</v>
      </c>
      <c r="D72" s="149">
        <v>30000.0</v>
      </c>
      <c r="E72" s="149">
        <v>30000.0</v>
      </c>
      <c r="F72" s="149">
        <v>30000.0</v>
      </c>
      <c r="G72" s="149">
        <v>30000.0</v>
      </c>
      <c r="H72" s="149">
        <v>30000.0</v>
      </c>
      <c r="I72" s="149">
        <v>30000.0</v>
      </c>
      <c r="J72" s="149">
        <v>30000.0</v>
      </c>
      <c r="K72" s="149">
        <v>30000.0</v>
      </c>
      <c r="L72" s="163"/>
    </row>
    <row r="73" ht="15.75" customHeight="1">
      <c r="B73" s="213" t="s">
        <v>90</v>
      </c>
      <c r="C73" s="214"/>
      <c r="D73" s="215"/>
      <c r="E73" s="215"/>
      <c r="F73" s="215"/>
      <c r="G73" s="215"/>
      <c r="H73" s="215"/>
      <c r="I73" s="215"/>
      <c r="J73" s="215"/>
      <c r="K73" s="216"/>
      <c r="L73" s="163"/>
    </row>
    <row r="74" ht="15.75" customHeight="1">
      <c r="B74" s="213" t="s">
        <v>91</v>
      </c>
      <c r="C74" s="172">
        <f t="shared" ref="C74:C77" si="32">sum(D74:K74)</f>
        <v>0</v>
      </c>
      <c r="D74" s="149">
        <v>0.0</v>
      </c>
      <c r="E74" s="149">
        <v>0.0</v>
      </c>
      <c r="F74" s="149">
        <v>0.0</v>
      </c>
      <c r="G74" s="149">
        <v>0.0</v>
      </c>
      <c r="H74" s="149">
        <v>0.0</v>
      </c>
      <c r="I74" s="149">
        <v>0.0</v>
      </c>
      <c r="J74" s="149">
        <v>0.0</v>
      </c>
      <c r="K74" s="149">
        <v>0.0</v>
      </c>
      <c r="L74" s="163"/>
    </row>
    <row r="75" ht="15.75" customHeight="1">
      <c r="B75" s="213" t="s">
        <v>92</v>
      </c>
      <c r="C75" s="172">
        <f t="shared" si="32"/>
        <v>0</v>
      </c>
      <c r="D75" s="149">
        <v>0.0</v>
      </c>
      <c r="E75" s="149">
        <v>0.0</v>
      </c>
      <c r="F75" s="149">
        <v>0.0</v>
      </c>
      <c r="G75" s="149">
        <v>0.0</v>
      </c>
      <c r="H75" s="149">
        <v>0.0</v>
      </c>
      <c r="I75" s="149">
        <v>0.0</v>
      </c>
      <c r="J75" s="149">
        <v>0.0</v>
      </c>
      <c r="K75" s="149">
        <v>0.0</v>
      </c>
      <c r="L75" s="163"/>
    </row>
    <row r="76" ht="15.75" customHeight="1">
      <c r="B76" s="217" t="s">
        <v>93</v>
      </c>
      <c r="C76" s="172">
        <f t="shared" si="32"/>
        <v>0</v>
      </c>
      <c r="D76" s="149">
        <v>0.0</v>
      </c>
      <c r="E76" s="149">
        <v>0.0</v>
      </c>
      <c r="F76" s="149">
        <v>0.0</v>
      </c>
      <c r="G76" s="149">
        <v>0.0</v>
      </c>
      <c r="H76" s="149">
        <v>0.0</v>
      </c>
      <c r="I76" s="149">
        <v>0.0</v>
      </c>
      <c r="J76" s="149">
        <v>0.0</v>
      </c>
      <c r="K76" s="149">
        <v>0.0</v>
      </c>
      <c r="L76" s="163"/>
    </row>
    <row r="77" ht="15.75" customHeight="1">
      <c r="B77" s="217" t="s">
        <v>94</v>
      </c>
      <c r="C77" s="172">
        <f t="shared" si="32"/>
        <v>1865000</v>
      </c>
      <c r="D77" s="153">
        <f t="shared" ref="D77:K77" si="33">sum(D68:D76)</f>
        <v>232500</v>
      </c>
      <c r="E77" s="153">
        <f t="shared" si="33"/>
        <v>232500</v>
      </c>
      <c r="F77" s="149">
        <f t="shared" si="33"/>
        <v>232500</v>
      </c>
      <c r="G77" s="152">
        <f t="shared" si="33"/>
        <v>232500</v>
      </c>
      <c r="H77" s="153">
        <f t="shared" si="33"/>
        <v>232500</v>
      </c>
      <c r="I77" s="149">
        <f t="shared" si="33"/>
        <v>232500</v>
      </c>
      <c r="J77" s="152">
        <f t="shared" si="33"/>
        <v>235000</v>
      </c>
      <c r="K77" s="153">
        <f t="shared" si="33"/>
        <v>235000</v>
      </c>
      <c r="L77" s="163"/>
    </row>
    <row r="78" ht="15.75" customHeight="1">
      <c r="B78" s="18"/>
      <c r="C78" s="164"/>
      <c r="D78" s="164"/>
      <c r="E78" s="192"/>
      <c r="F78" s="192"/>
      <c r="G78" s="164"/>
      <c r="H78" s="192"/>
      <c r="I78" s="192"/>
      <c r="J78" s="164"/>
      <c r="K78" s="192"/>
      <c r="L78" s="163"/>
    </row>
    <row r="79" ht="15.75" customHeight="1">
      <c r="B79" s="139" t="s">
        <v>95</v>
      </c>
      <c r="C79" s="218"/>
      <c r="D79" s="218"/>
      <c r="E79" s="4" t="s">
        <v>6</v>
      </c>
      <c r="F79" s="5" t="s">
        <v>7</v>
      </c>
      <c r="G79" s="5" t="s">
        <v>110</v>
      </c>
      <c r="H79" s="5" t="s">
        <v>9</v>
      </c>
      <c r="I79" s="5" t="s">
        <v>10</v>
      </c>
      <c r="J79" s="5" t="s">
        <v>11</v>
      </c>
      <c r="K79" s="5" t="s">
        <v>12</v>
      </c>
      <c r="L79" s="171"/>
    </row>
    <row r="80" ht="15.75" customHeight="1">
      <c r="B80" s="35" t="s">
        <v>96</v>
      </c>
      <c r="C80" s="155"/>
      <c r="D80" s="156">
        <f t="shared" ref="D80:K80" si="34">D$77/(D$20)</f>
        <v>2.89041055</v>
      </c>
      <c r="E80" s="156">
        <f t="shared" si="34"/>
        <v>7.707761467</v>
      </c>
      <c r="F80" s="156">
        <f t="shared" si="34"/>
        <v>9.793391041</v>
      </c>
      <c r="G80" s="156">
        <f t="shared" si="34"/>
        <v>3.699725504</v>
      </c>
      <c r="H80" s="156">
        <f t="shared" si="34"/>
        <v>9.605056598</v>
      </c>
      <c r="I80" s="156">
        <f t="shared" si="34"/>
        <v>11.35143052</v>
      </c>
      <c r="J80" s="156">
        <f t="shared" si="34"/>
        <v>57.23735968</v>
      </c>
      <c r="K80" s="156">
        <f t="shared" si="34"/>
        <v>8.731122663</v>
      </c>
      <c r="L80" s="163"/>
    </row>
    <row r="81" ht="15.75" customHeight="1">
      <c r="B81" s="35" t="s">
        <v>97</v>
      </c>
      <c r="C81" s="155"/>
      <c r="D81" s="156">
        <f t="shared" ref="D81:K81" si="35">D$77/(D28)</f>
        <v>5.817818355</v>
      </c>
      <c r="E81" s="156">
        <f t="shared" si="35"/>
        <v>15.51418228</v>
      </c>
      <c r="F81" s="156">
        <f t="shared" si="35"/>
        <v>22.04646956</v>
      </c>
      <c r="G81" s="156">
        <f t="shared" si="35"/>
        <v>13.22788173</v>
      </c>
      <c r="H81" s="156">
        <f t="shared" si="35"/>
        <v>13.12225369</v>
      </c>
      <c r="I81" s="156">
        <f t="shared" si="35"/>
        <v>11.78324821</v>
      </c>
      <c r="J81" s="156">
        <f t="shared" si="35"/>
        <v>29.39237105</v>
      </c>
      <c r="K81" s="156">
        <f t="shared" si="35"/>
        <v>11.44864341</v>
      </c>
      <c r="L81" s="163"/>
    </row>
    <row r="82" ht="15.75" customHeight="1">
      <c r="B82" s="35" t="s">
        <v>98</v>
      </c>
      <c r="C82" s="155"/>
      <c r="D82" s="156">
        <f t="shared" ref="D82:K82" si="36">D$77/(D34)</f>
        <v>111.8811222</v>
      </c>
      <c r="E82" s="156">
        <f t="shared" si="36"/>
        <v>352.5950518</v>
      </c>
      <c r="F82" s="156">
        <f t="shared" si="36"/>
        <v>501.0561263</v>
      </c>
      <c r="G82" s="156">
        <f t="shared" si="36"/>
        <v>300.6336758</v>
      </c>
      <c r="H82" s="156">
        <f t="shared" si="36"/>
        <v>192.9743189</v>
      </c>
      <c r="I82" s="156">
        <f t="shared" si="36"/>
        <v>173.2830619</v>
      </c>
      <c r="J82" s="156">
        <f t="shared" si="36"/>
        <v>612.3410634</v>
      </c>
      <c r="K82" s="156">
        <f t="shared" si="36"/>
        <v>238.5134043</v>
      </c>
      <c r="L82" s="163"/>
    </row>
    <row r="83" ht="15.75" customHeight="1">
      <c r="B83" s="35" t="s">
        <v>99</v>
      </c>
      <c r="C83" s="155"/>
      <c r="D83" s="156">
        <f t="shared" ref="D83:K83" si="37">D$77/(D55)</f>
        <v>64.79327338</v>
      </c>
      <c r="E83" s="156">
        <f t="shared" si="37"/>
        <v>196.1776321</v>
      </c>
      <c r="F83" s="156">
        <f t="shared" si="37"/>
        <v>278.7787404</v>
      </c>
      <c r="G83" s="156">
        <f t="shared" si="37"/>
        <v>167.2672442</v>
      </c>
      <c r="H83" s="156">
        <f t="shared" si="37"/>
        <v>161.0064819</v>
      </c>
      <c r="I83" s="156">
        <f t="shared" si="37"/>
        <v>144.5772491</v>
      </c>
      <c r="J83" s="156">
        <f t="shared" si="37"/>
        <v>172.8478419</v>
      </c>
      <c r="K83" s="156">
        <f t="shared" si="37"/>
        <v>67.32608615</v>
      </c>
      <c r="L83" s="163"/>
    </row>
    <row r="84" ht="15.75" customHeight="1">
      <c r="B84" s="35" t="s">
        <v>100</v>
      </c>
      <c r="C84" s="155"/>
      <c r="D84" s="156">
        <f t="shared" ref="D84:K84" si="38">D$77/(D40)</f>
        <v>1506.867367</v>
      </c>
      <c r="E84" s="156">
        <f t="shared" si="38"/>
        <v>4926.80113</v>
      </c>
      <c r="F84" s="156">
        <f t="shared" si="38"/>
        <v>5164.037914</v>
      </c>
      <c r="G84" s="156">
        <f t="shared" si="38"/>
        <v>3239.937249</v>
      </c>
      <c r="H84" s="156">
        <f t="shared" si="38"/>
        <v>3494.979331</v>
      </c>
      <c r="I84" s="156">
        <f t="shared" si="38"/>
        <v>2166.038274</v>
      </c>
      <c r="J84" s="156">
        <f t="shared" si="38"/>
        <v>7851.386786</v>
      </c>
      <c r="K84" s="156">
        <f t="shared" si="38"/>
        <v>2854.319315</v>
      </c>
      <c r="L84" s="163"/>
    </row>
    <row r="85" ht="15.75" customHeight="1">
      <c r="B85" s="35" t="s">
        <v>101</v>
      </c>
      <c r="C85" s="157"/>
      <c r="D85" s="158">
        <f t="shared" ref="D85:K85" si="39">D$77/D64</f>
        <v>28.29450357</v>
      </c>
      <c r="E85" s="158">
        <f t="shared" si="39"/>
        <v>89.39294767</v>
      </c>
      <c r="F85" s="158">
        <f t="shared" si="39"/>
        <v>106.4228138</v>
      </c>
      <c r="G85" s="158">
        <f t="shared" si="39"/>
        <v>65.62586052</v>
      </c>
      <c r="H85" s="158">
        <f t="shared" si="39"/>
        <v>67.59190148</v>
      </c>
      <c r="I85" s="158">
        <f t="shared" si="39"/>
        <v>48.15357905</v>
      </c>
      <c r="J85" s="158">
        <f t="shared" si="39"/>
        <v>104.0970919</v>
      </c>
      <c r="K85" s="158">
        <f t="shared" si="39"/>
        <v>39.42678099</v>
      </c>
      <c r="L85" s="163"/>
    </row>
    <row r="86" ht="15.75" customHeight="1">
      <c r="B86" s="35" t="s">
        <v>102</v>
      </c>
      <c r="C86" s="157"/>
      <c r="D86" s="158">
        <f t="shared" ref="D86:K86" si="40">D$77/D65</f>
        <v>848.8351072</v>
      </c>
      <c r="E86" s="158">
        <f t="shared" si="40"/>
        <v>2681.78843</v>
      </c>
      <c r="F86" s="158">
        <f t="shared" si="40"/>
        <v>3192.684415</v>
      </c>
      <c r="G86" s="158">
        <f t="shared" si="40"/>
        <v>1968.775815</v>
      </c>
      <c r="H86" s="158">
        <f t="shared" si="40"/>
        <v>2027.757044</v>
      </c>
      <c r="I86" s="158">
        <f t="shared" si="40"/>
        <v>1444.607371</v>
      </c>
      <c r="J86" s="158">
        <f t="shared" si="40"/>
        <v>3122.912756</v>
      </c>
      <c r="K86" s="158">
        <f t="shared" si="40"/>
        <v>1182.80343</v>
      </c>
      <c r="L86" s="163">
        <f>AVERAGE(E86:K86)</f>
        <v>2231.618466</v>
      </c>
    </row>
    <row r="87" ht="15.75" customHeight="1">
      <c r="B87" s="14"/>
      <c r="C87" s="161"/>
      <c r="D87" s="161"/>
      <c r="E87" s="162"/>
      <c r="F87" s="162"/>
      <c r="G87" s="162"/>
      <c r="H87" s="162"/>
      <c r="I87" s="162"/>
      <c r="J87" s="162"/>
      <c r="K87" s="162"/>
      <c r="L87" s="163"/>
    </row>
    <row r="88" ht="15.75" customHeight="1">
      <c r="B88" s="151" t="s">
        <v>103</v>
      </c>
      <c r="C88" s="161"/>
      <c r="D88" s="161"/>
      <c r="E88" s="162"/>
      <c r="F88" s="162"/>
      <c r="G88" s="162"/>
      <c r="H88" s="162"/>
      <c r="I88" s="162"/>
      <c r="J88" s="162"/>
      <c r="K88" s="162"/>
      <c r="L88" s="163"/>
    </row>
    <row r="89" ht="15.75" customHeight="1">
      <c r="B89" s="35" t="s">
        <v>104</v>
      </c>
      <c r="C89" s="161"/>
      <c r="D89" s="161"/>
      <c r="E89" s="162"/>
      <c r="F89" s="162"/>
      <c r="G89" s="195"/>
      <c r="H89" s="195"/>
      <c r="I89" s="195"/>
      <c r="J89" s="195"/>
      <c r="K89" s="195"/>
      <c r="L89" s="163"/>
    </row>
    <row r="90" ht="15.75" customHeight="1">
      <c r="B90" s="27" t="s">
        <v>105</v>
      </c>
      <c r="C90" s="161"/>
      <c r="D90" s="161"/>
      <c r="E90" s="162"/>
      <c r="F90" s="162"/>
      <c r="G90" s="162"/>
      <c r="H90" s="162"/>
      <c r="I90" s="162"/>
      <c r="J90" s="162"/>
      <c r="K90" s="162"/>
      <c r="L90" s="163"/>
    </row>
    <row r="91" ht="15.75" customHeight="1">
      <c r="B91" s="160" t="s">
        <v>106</v>
      </c>
      <c r="C91" s="161"/>
      <c r="D91" s="161"/>
      <c r="E91" s="162"/>
      <c r="F91" s="162"/>
      <c r="G91" s="162"/>
      <c r="H91" s="162"/>
      <c r="I91" s="162"/>
      <c r="J91" s="162"/>
      <c r="K91" s="162"/>
      <c r="L91" s="163"/>
    </row>
    <row r="92" ht="15.75" customHeight="1">
      <c r="B92" s="14"/>
      <c r="C92" s="161"/>
      <c r="D92" s="161"/>
      <c r="E92" s="162"/>
      <c r="F92" s="162"/>
      <c r="G92" s="162"/>
      <c r="H92" s="162"/>
      <c r="I92" s="162"/>
      <c r="J92" s="162"/>
      <c r="K92" s="162"/>
      <c r="L92" s="163"/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2:H2"/>
    <mergeCell ref="E3:G3"/>
    <mergeCell ref="H3:I3"/>
    <mergeCell ref="J3:K3"/>
    <mergeCell ref="C68:K68"/>
    <mergeCell ref="C73:K7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36.5"/>
    <col customWidth="1" min="3" max="5" width="14.13"/>
    <col customWidth="1" min="6" max="6" width="12.63"/>
    <col customWidth="1" min="7" max="7" width="16.0"/>
  </cols>
  <sheetData>
    <row r="1">
      <c r="C1" s="219"/>
      <c r="D1" s="219"/>
      <c r="E1" s="220"/>
      <c r="H1" s="220"/>
    </row>
    <row r="2">
      <c r="C2" s="221" t="s">
        <v>112</v>
      </c>
      <c r="D2" s="221" t="s">
        <v>113</v>
      </c>
      <c r="E2" s="222" t="s">
        <v>114</v>
      </c>
      <c r="G2" s="223" t="s">
        <v>115</v>
      </c>
      <c r="H2" s="215"/>
      <c r="I2" s="216"/>
    </row>
    <row r="3">
      <c r="B3" s="224"/>
      <c r="C3" s="225" t="s">
        <v>116</v>
      </c>
      <c r="D3" s="215"/>
      <c r="E3" s="216"/>
      <c r="G3" s="226" t="s">
        <v>117</v>
      </c>
      <c r="H3" s="227">
        <f>(sum(C5:C7)+sum(E5:E7))*1.1</f>
        <v>4119958.7</v>
      </c>
      <c r="I3" s="228">
        <f t="shared" ref="I3:I6" si="1">H3/$H$6</f>
        <v>0.8740161412</v>
      </c>
    </row>
    <row r="4">
      <c r="B4" s="229" t="s">
        <v>86</v>
      </c>
      <c r="C4" s="230"/>
      <c r="D4" s="230"/>
      <c r="E4" s="231"/>
      <c r="G4" s="226" t="s">
        <v>118</v>
      </c>
      <c r="H4" s="232"/>
      <c r="I4" s="228">
        <f t="shared" si="1"/>
        <v>0</v>
      </c>
    </row>
    <row r="5">
      <c r="B5" s="175" t="s">
        <v>87</v>
      </c>
      <c r="C5" s="233">
        <v>519542.0</v>
      </c>
      <c r="D5" s="233" t="s">
        <v>119</v>
      </c>
      <c r="E5" s="234">
        <v>25000.0</v>
      </c>
      <c r="F5" s="235"/>
      <c r="G5" s="226" t="s">
        <v>120</v>
      </c>
      <c r="H5" s="227">
        <f>sum(C11:C13)*1.1</f>
        <v>593865.8</v>
      </c>
      <c r="I5" s="228">
        <f t="shared" si="1"/>
        <v>0.1259838588</v>
      </c>
    </row>
    <row r="6">
      <c r="B6" s="175" t="s">
        <v>88</v>
      </c>
      <c r="C6" s="233">
        <v>1197831.0</v>
      </c>
      <c r="D6" s="233" t="s">
        <v>119</v>
      </c>
      <c r="E6" s="234">
        <v>1600000.0</v>
      </c>
      <c r="F6" s="235"/>
      <c r="G6" s="226" t="s">
        <v>1</v>
      </c>
      <c r="H6" s="227">
        <f>sum(H3:H5)</f>
        <v>4713824.5</v>
      </c>
      <c r="I6" s="228">
        <f t="shared" si="1"/>
        <v>1</v>
      </c>
    </row>
    <row r="7">
      <c r="B7" s="175" t="s">
        <v>89</v>
      </c>
      <c r="C7" s="233">
        <v>163044.0</v>
      </c>
      <c r="D7" s="233" t="s">
        <v>119</v>
      </c>
      <c r="E7" s="234">
        <v>240000.0</v>
      </c>
      <c r="F7" s="235"/>
    </row>
    <row r="8">
      <c r="B8" s="175" t="s">
        <v>121</v>
      </c>
      <c r="C8" s="175" t="s">
        <v>119</v>
      </c>
      <c r="D8" s="233">
        <v>1339560.0</v>
      </c>
      <c r="E8" s="234">
        <v>0.0</v>
      </c>
      <c r="F8" s="235"/>
    </row>
    <row r="9">
      <c r="A9" s="236"/>
      <c r="B9" s="237" t="s">
        <v>122</v>
      </c>
      <c r="C9" s="238">
        <f>sum(C5:C8)</f>
        <v>1880417</v>
      </c>
      <c r="D9" s="238">
        <v>1339560.0</v>
      </c>
      <c r="E9" s="238">
        <f>sum(E5:E8)</f>
        <v>1865000</v>
      </c>
      <c r="F9" s="236"/>
      <c r="G9" s="239"/>
      <c r="H9" s="240"/>
      <c r="I9" s="239"/>
    </row>
    <row r="10">
      <c r="B10" s="229" t="s">
        <v>90</v>
      </c>
      <c r="C10" s="230"/>
      <c r="D10" s="230"/>
      <c r="E10" s="231"/>
      <c r="G10" s="16"/>
      <c r="H10" s="241"/>
      <c r="I10" s="16"/>
    </row>
    <row r="11">
      <c r="B11" s="175" t="s">
        <v>91</v>
      </c>
      <c r="C11" s="233">
        <v>391242.0</v>
      </c>
      <c r="D11" s="233">
        <v>0.0</v>
      </c>
      <c r="E11" s="234">
        <v>0.0</v>
      </c>
      <c r="G11" s="16"/>
      <c r="H11" s="241"/>
      <c r="I11" s="16"/>
    </row>
    <row r="12">
      <c r="B12" s="175" t="s">
        <v>92</v>
      </c>
      <c r="C12" s="233">
        <v>126955.0</v>
      </c>
      <c r="D12" s="233">
        <v>0.0</v>
      </c>
      <c r="E12" s="234">
        <v>0.0</v>
      </c>
      <c r="G12" s="242"/>
      <c r="H12" s="243"/>
      <c r="I12" s="244"/>
    </row>
    <row r="13">
      <c r="B13" s="175" t="s">
        <v>93</v>
      </c>
      <c r="C13" s="233">
        <v>21681.0</v>
      </c>
      <c r="D13" s="233">
        <v>0.0</v>
      </c>
      <c r="E13" s="234">
        <v>0.0</v>
      </c>
      <c r="G13" s="16"/>
      <c r="H13" s="243"/>
      <c r="I13" s="242"/>
    </row>
    <row r="14">
      <c r="A14" s="236"/>
      <c r="B14" s="237" t="s">
        <v>123</v>
      </c>
      <c r="C14" s="238">
        <f t="shared" ref="C14:E14" si="2">sum(C11:C13)</f>
        <v>539878</v>
      </c>
      <c r="D14" s="238">
        <f t="shared" si="2"/>
        <v>0</v>
      </c>
      <c r="E14" s="238">
        <f t="shared" si="2"/>
        <v>0</v>
      </c>
      <c r="F14" s="236"/>
      <c r="G14" s="236"/>
      <c r="H14" s="245"/>
      <c r="I14" s="236"/>
    </row>
    <row r="15">
      <c r="B15" s="175"/>
      <c r="C15" s="233"/>
      <c r="D15" s="233"/>
      <c r="E15" s="234"/>
      <c r="H15" s="220"/>
    </row>
    <row r="16">
      <c r="B16" s="229" t="s">
        <v>124</v>
      </c>
      <c r="C16" s="246">
        <f t="shared" ref="C16:E16" si="3">C9+C14</f>
        <v>2420295</v>
      </c>
      <c r="D16" s="246">
        <f t="shared" si="3"/>
        <v>1339560</v>
      </c>
      <c r="E16" s="246">
        <f t="shared" si="3"/>
        <v>1865000</v>
      </c>
      <c r="H16" s="220"/>
    </row>
    <row r="17">
      <c r="B17" s="229" t="s">
        <v>125</v>
      </c>
      <c r="C17" s="246">
        <f t="shared" ref="C17:E17" si="4">C16*0.1</f>
        <v>242029.5</v>
      </c>
      <c r="D17" s="246">
        <f t="shared" si="4"/>
        <v>133956</v>
      </c>
      <c r="E17" s="246">
        <f t="shared" si="4"/>
        <v>186500</v>
      </c>
      <c r="H17" s="220"/>
    </row>
    <row r="18">
      <c r="B18" s="175"/>
      <c r="C18" s="233"/>
      <c r="D18" s="233"/>
      <c r="E18" s="234"/>
      <c r="H18" s="220"/>
    </row>
    <row r="19">
      <c r="B19" s="229" t="s">
        <v>1</v>
      </c>
      <c r="C19" s="246">
        <f t="shared" ref="C19:E19" si="5">C16+C17</f>
        <v>2662324.5</v>
      </c>
      <c r="D19" s="246">
        <f t="shared" si="5"/>
        <v>1473516</v>
      </c>
      <c r="E19" s="246">
        <f t="shared" si="5"/>
        <v>2051500</v>
      </c>
      <c r="H19" s="220"/>
    </row>
    <row r="20">
      <c r="C20" s="219"/>
      <c r="D20" s="219"/>
      <c r="E20" s="220"/>
      <c r="H20" s="220"/>
    </row>
    <row r="21" ht="15.75" customHeight="1">
      <c r="C21" s="219"/>
      <c r="D21" s="219"/>
      <c r="E21" s="245"/>
      <c r="H21" s="220"/>
    </row>
    <row r="22" ht="15.75" customHeight="1">
      <c r="C22" s="219"/>
      <c r="D22" s="219"/>
      <c r="E22" s="220"/>
      <c r="H22" s="220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G2:I2"/>
    <mergeCell ref="C3:E3"/>
  </mergeCells>
  <drawing r:id="rId1"/>
</worksheet>
</file>