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robin/Downloads/"/>
    </mc:Choice>
  </mc:AlternateContent>
  <xr:revisionPtr revIDLastSave="0" documentId="13_ncr:1_{02341483-6DA7-8F43-8BB4-5BF1A4A41033}" xr6:coauthVersionLast="45" xr6:coauthVersionMax="45" xr10:uidLastSave="{00000000-0000-0000-0000-000000000000}"/>
  <bookViews>
    <workbookView xWindow="0" yWindow="460" windowWidth="33600" windowHeight="18580" xr2:uid="{00000000-000D-0000-FFFF-FFFF00000000}"/>
  </bookViews>
  <sheets>
    <sheet name="Total Expense Summary" sheetId="1" r:id="rId1"/>
    <sheet name="Total Detailed Expense" sheetId="2" r:id="rId2"/>
    <sheet name="Comparative Annual Spending Sum" sheetId="3" r:id="rId3"/>
    <sheet name="Comparative Detailed Expense" sheetId="4" r:id="rId4"/>
    <sheet name="Spotlight Data Sheet Summary" sheetId="5" r:id="rId5"/>
    <sheet name="Xero-Spotlight Reconciliation 2" sheetId="6" state="hidden" r:id="rId6"/>
    <sheet name="Sheet7" sheetId="7" state="hidden" r:id="rId7"/>
    <sheet name="Sheet8" sheetId="8" state="hidden" r:id="rId8"/>
    <sheet name="Sheet9" sheetId="9" r:id="rId9"/>
  </sheets>
  <definedNames>
    <definedName name="_xlnm._FilterDatabase" localSheetId="4" hidden="1">'Spotlight Data Sheet Summary'!$A$1:$E$151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9" l="1"/>
  <c r="K39" i="9"/>
  <c r="K38" i="9"/>
  <c r="K37" i="9"/>
  <c r="K36" i="9"/>
  <c r="K35" i="9"/>
  <c r="L35" i="9" s="1"/>
  <c r="J35" i="9"/>
  <c r="K34" i="9"/>
  <c r="J34" i="9"/>
  <c r="L34" i="9" s="1"/>
  <c r="D34" i="9"/>
  <c r="K33" i="9"/>
  <c r="J33" i="9"/>
  <c r="L33" i="9" s="1"/>
  <c r="D33" i="9"/>
  <c r="K32" i="9"/>
  <c r="J32" i="9"/>
  <c r="L32" i="9" s="1"/>
  <c r="D32" i="9"/>
  <c r="K31" i="9"/>
  <c r="J31" i="9"/>
  <c r="L31" i="9" s="1"/>
  <c r="D31" i="9"/>
  <c r="J40" i="9" s="1"/>
  <c r="L40" i="9" s="1"/>
  <c r="K30" i="9"/>
  <c r="J30" i="9"/>
  <c r="L30" i="9" s="1"/>
  <c r="D30" i="9"/>
  <c r="J39" i="9" s="1"/>
  <c r="L39" i="9" s="1"/>
  <c r="K29" i="9"/>
  <c r="J29" i="9"/>
  <c r="L29" i="9" s="1"/>
  <c r="D29" i="9"/>
  <c r="J38" i="9" s="1"/>
  <c r="L38" i="9" s="1"/>
  <c r="K28" i="9"/>
  <c r="J28" i="9"/>
  <c r="L28" i="9" s="1"/>
  <c r="D28" i="9"/>
  <c r="J37" i="9" s="1"/>
  <c r="L37" i="9" s="1"/>
  <c r="K27" i="9"/>
  <c r="J27" i="9"/>
  <c r="L27" i="9" s="1"/>
  <c r="D27" i="9"/>
  <c r="J36" i="9" s="1"/>
  <c r="L36" i="9" s="1"/>
  <c r="K26" i="9"/>
  <c r="J26" i="9"/>
  <c r="L26" i="9" s="1"/>
  <c r="D26" i="9"/>
  <c r="K25" i="9"/>
  <c r="J25" i="9"/>
  <c r="L25" i="9" s="1"/>
  <c r="D25" i="9"/>
  <c r="K24" i="9"/>
  <c r="J24" i="9"/>
  <c r="L24" i="9" s="1"/>
  <c r="D24" i="9"/>
  <c r="K23" i="9"/>
  <c r="J23" i="9"/>
  <c r="L23" i="9" s="1"/>
  <c r="D23" i="9"/>
  <c r="K22" i="9"/>
  <c r="J22" i="9"/>
  <c r="L22" i="9" s="1"/>
  <c r="D22" i="9"/>
  <c r="K21" i="9"/>
  <c r="J21" i="9"/>
  <c r="L21" i="9" s="1"/>
  <c r="D21" i="9"/>
  <c r="K20" i="9"/>
  <c r="J20" i="9"/>
  <c r="L20" i="9" s="1"/>
  <c r="D20" i="9"/>
  <c r="K19" i="9"/>
  <c r="J19" i="9"/>
  <c r="L19" i="9" s="1"/>
  <c r="D19" i="9"/>
  <c r="K18" i="9"/>
  <c r="J18" i="9"/>
  <c r="L18" i="9" s="1"/>
  <c r="D18" i="9"/>
  <c r="K17" i="9"/>
  <c r="J17" i="9"/>
  <c r="L17" i="9" s="1"/>
  <c r="D17" i="9"/>
  <c r="K16" i="9"/>
  <c r="J16" i="9"/>
  <c r="L16" i="9" s="1"/>
  <c r="D16" i="9"/>
  <c r="K15" i="9"/>
  <c r="J15" i="9"/>
  <c r="L15" i="9" s="1"/>
  <c r="D15" i="9"/>
  <c r="K14" i="9"/>
  <c r="J14" i="9"/>
  <c r="L14" i="9" s="1"/>
  <c r="D14" i="9"/>
  <c r="K13" i="9"/>
  <c r="J13" i="9"/>
  <c r="L13" i="9" s="1"/>
  <c r="D13" i="9"/>
  <c r="K12" i="9"/>
  <c r="J12" i="9"/>
  <c r="L12" i="9" s="1"/>
  <c r="D12" i="9"/>
  <c r="K11" i="9"/>
  <c r="J11" i="9"/>
  <c r="L11" i="9" s="1"/>
  <c r="D11" i="9"/>
  <c r="K10" i="9"/>
  <c r="J10" i="9"/>
  <c r="L10" i="9" s="1"/>
  <c r="D10" i="9"/>
  <c r="K9" i="9"/>
  <c r="J9" i="9"/>
  <c r="L9" i="9" s="1"/>
  <c r="D9" i="9"/>
  <c r="K8" i="9"/>
  <c r="J8" i="9"/>
  <c r="J42" i="9" s="1"/>
  <c r="J44" i="9" s="1"/>
  <c r="D8" i="9"/>
  <c r="J43" i="8"/>
  <c r="J40" i="8"/>
  <c r="L40" i="8" s="1"/>
  <c r="K39" i="8"/>
  <c r="L38" i="8"/>
  <c r="K38" i="8"/>
  <c r="J38" i="8"/>
  <c r="D38" i="8"/>
  <c r="L37" i="8"/>
  <c r="K37" i="8"/>
  <c r="J37" i="8"/>
  <c r="D37" i="8"/>
  <c r="L36" i="8"/>
  <c r="K36" i="8"/>
  <c r="J36" i="8"/>
  <c r="D36" i="8"/>
  <c r="J39" i="8" s="1"/>
  <c r="L39" i="8" s="1"/>
  <c r="L35" i="8"/>
  <c r="K35" i="8"/>
  <c r="J35" i="8"/>
  <c r="D35" i="8"/>
  <c r="L34" i="8"/>
  <c r="K34" i="8"/>
  <c r="J34" i="8"/>
  <c r="D34" i="8"/>
  <c r="L33" i="8"/>
  <c r="K33" i="8"/>
  <c r="J33" i="8"/>
  <c r="D33" i="8"/>
  <c r="L32" i="8"/>
  <c r="K32" i="8"/>
  <c r="J32" i="8"/>
  <c r="D32" i="8"/>
  <c r="L31" i="8"/>
  <c r="K31" i="8"/>
  <c r="J31" i="8"/>
  <c r="D31" i="8"/>
  <c r="K30" i="8"/>
  <c r="L30" i="8" s="1"/>
  <c r="J30" i="8"/>
  <c r="D30" i="8"/>
  <c r="K29" i="8"/>
  <c r="L29" i="8" s="1"/>
  <c r="J29" i="8"/>
  <c r="D29" i="8"/>
  <c r="K28" i="8"/>
  <c r="L28" i="8" s="1"/>
  <c r="J28" i="8"/>
  <c r="D28" i="8"/>
  <c r="K27" i="8"/>
  <c r="L27" i="8" s="1"/>
  <c r="J27" i="8"/>
  <c r="D27" i="8"/>
  <c r="K26" i="8"/>
  <c r="L26" i="8" s="1"/>
  <c r="J26" i="8"/>
  <c r="D26" i="8"/>
  <c r="K25" i="8"/>
  <c r="L25" i="8" s="1"/>
  <c r="J25" i="8"/>
  <c r="D25" i="8"/>
  <c r="K24" i="8"/>
  <c r="L24" i="8" s="1"/>
  <c r="J24" i="8"/>
  <c r="D24" i="8"/>
  <c r="K23" i="8"/>
  <c r="L23" i="8" s="1"/>
  <c r="J23" i="8"/>
  <c r="D23" i="8"/>
  <c r="K22" i="8"/>
  <c r="L22" i="8" s="1"/>
  <c r="J22" i="8"/>
  <c r="D22" i="8"/>
  <c r="K21" i="8"/>
  <c r="L21" i="8" s="1"/>
  <c r="J21" i="8"/>
  <c r="D21" i="8"/>
  <c r="K20" i="8"/>
  <c r="L20" i="8" s="1"/>
  <c r="J20" i="8"/>
  <c r="D20" i="8"/>
  <c r="K19" i="8"/>
  <c r="L19" i="8" s="1"/>
  <c r="J19" i="8"/>
  <c r="D19" i="8"/>
  <c r="K18" i="8"/>
  <c r="L18" i="8" s="1"/>
  <c r="J18" i="8"/>
  <c r="D18" i="8"/>
  <c r="K17" i="8"/>
  <c r="L17" i="8" s="1"/>
  <c r="J17" i="8"/>
  <c r="D17" i="8"/>
  <c r="K16" i="8"/>
  <c r="L16" i="8" s="1"/>
  <c r="J16" i="8"/>
  <c r="D16" i="8"/>
  <c r="K15" i="8"/>
  <c r="L15" i="8" s="1"/>
  <c r="J15" i="8"/>
  <c r="D15" i="8"/>
  <c r="K14" i="8"/>
  <c r="L14" i="8" s="1"/>
  <c r="J14" i="8"/>
  <c r="D14" i="8"/>
  <c r="K13" i="8"/>
  <c r="L13" i="8" s="1"/>
  <c r="J13" i="8"/>
  <c r="D13" i="8"/>
  <c r="K12" i="8"/>
  <c r="L12" i="8" s="1"/>
  <c r="J12" i="8"/>
  <c r="D12" i="8"/>
  <c r="K11" i="8"/>
  <c r="L11" i="8" s="1"/>
  <c r="J11" i="8"/>
  <c r="D11" i="8"/>
  <c r="K10" i="8"/>
  <c r="L10" i="8" s="1"/>
  <c r="J10" i="8"/>
  <c r="D10" i="8"/>
  <c r="K9" i="8"/>
  <c r="L9" i="8" s="1"/>
  <c r="J9" i="8"/>
  <c r="D9" i="8"/>
  <c r="K8" i="8"/>
  <c r="L8" i="8" s="1"/>
  <c r="J8" i="8"/>
  <c r="J42" i="8" s="1"/>
  <c r="J44" i="8" s="1"/>
  <c r="D8" i="8"/>
  <c r="J40" i="7"/>
  <c r="D38" i="7"/>
  <c r="L37" i="7"/>
  <c r="J37" i="7"/>
  <c r="D37" i="7"/>
  <c r="K36" i="7"/>
  <c r="L36" i="7" s="1"/>
  <c r="J36" i="7"/>
  <c r="D36" i="7"/>
  <c r="K35" i="7"/>
  <c r="L35" i="7" s="1"/>
  <c r="J35" i="7"/>
  <c r="D35" i="7"/>
  <c r="K34" i="7"/>
  <c r="L34" i="7" s="1"/>
  <c r="J34" i="7"/>
  <c r="D34" i="7"/>
  <c r="K33" i="7"/>
  <c r="L33" i="7" s="1"/>
  <c r="J33" i="7"/>
  <c r="D33" i="7"/>
  <c r="K32" i="7"/>
  <c r="L32" i="7" s="1"/>
  <c r="J32" i="7"/>
  <c r="D32" i="7"/>
  <c r="K31" i="7"/>
  <c r="L31" i="7" s="1"/>
  <c r="J31" i="7"/>
  <c r="D31" i="7"/>
  <c r="K30" i="7"/>
  <c r="L30" i="7" s="1"/>
  <c r="J30" i="7"/>
  <c r="D30" i="7"/>
  <c r="K29" i="7"/>
  <c r="L29" i="7" s="1"/>
  <c r="J29" i="7"/>
  <c r="D29" i="7"/>
  <c r="K28" i="7"/>
  <c r="L28" i="7" s="1"/>
  <c r="J28" i="7"/>
  <c r="D28" i="7"/>
  <c r="K27" i="7"/>
  <c r="L27" i="7" s="1"/>
  <c r="J27" i="7"/>
  <c r="D27" i="7"/>
  <c r="K26" i="7"/>
  <c r="J26" i="7"/>
  <c r="L26" i="7" s="1"/>
  <c r="D26" i="7"/>
  <c r="K25" i="7"/>
  <c r="L25" i="7" s="1"/>
  <c r="J25" i="7"/>
  <c r="D25" i="7"/>
  <c r="K24" i="7"/>
  <c r="J24" i="7"/>
  <c r="L24" i="7" s="1"/>
  <c r="D24" i="7"/>
  <c r="K23" i="7"/>
  <c r="L23" i="7" s="1"/>
  <c r="J23" i="7"/>
  <c r="D23" i="7"/>
  <c r="K22" i="7"/>
  <c r="J22" i="7"/>
  <c r="L22" i="7" s="1"/>
  <c r="D22" i="7"/>
  <c r="K21" i="7"/>
  <c r="L21" i="7" s="1"/>
  <c r="J21" i="7"/>
  <c r="D21" i="7"/>
  <c r="K20" i="7"/>
  <c r="J20" i="7"/>
  <c r="L20" i="7" s="1"/>
  <c r="D20" i="7"/>
  <c r="K19" i="7"/>
  <c r="L19" i="7" s="1"/>
  <c r="J19" i="7"/>
  <c r="D19" i="7"/>
  <c r="K18" i="7"/>
  <c r="J18" i="7"/>
  <c r="L18" i="7" s="1"/>
  <c r="D18" i="7"/>
  <c r="K17" i="7"/>
  <c r="J17" i="7"/>
  <c r="L17" i="7" s="1"/>
  <c r="D17" i="7"/>
  <c r="K16" i="7"/>
  <c r="J16" i="7"/>
  <c r="L16" i="7" s="1"/>
  <c r="D16" i="7"/>
  <c r="K15" i="7"/>
  <c r="J15" i="7"/>
  <c r="L15" i="7" s="1"/>
  <c r="D15" i="7"/>
  <c r="K14" i="7"/>
  <c r="J14" i="7"/>
  <c r="D14" i="7"/>
  <c r="K13" i="7"/>
  <c r="J13" i="7"/>
  <c r="D13" i="7"/>
  <c r="K12" i="7"/>
  <c r="J12" i="7"/>
  <c r="D12" i="7"/>
  <c r="K11" i="7"/>
  <c r="J11" i="7"/>
  <c r="D11" i="7"/>
  <c r="K10" i="7"/>
  <c r="J10" i="7"/>
  <c r="D10" i="7"/>
  <c r="K9" i="7"/>
  <c r="J9" i="7"/>
  <c r="D9" i="7"/>
  <c r="K8" i="7"/>
  <c r="J8" i="7"/>
  <c r="J39" i="7" s="1"/>
  <c r="J41" i="7" s="1"/>
  <c r="D8" i="7"/>
  <c r="J39" i="6"/>
  <c r="K36" i="6"/>
  <c r="K35" i="6"/>
  <c r="L34" i="6"/>
  <c r="K34" i="6"/>
  <c r="J34" i="6"/>
  <c r="D34" i="6"/>
  <c r="K33" i="6"/>
  <c r="D33" i="6"/>
  <c r="L32" i="6"/>
  <c r="K32" i="6"/>
  <c r="J32" i="6"/>
  <c r="D32" i="6"/>
  <c r="L31" i="6"/>
  <c r="K31" i="6"/>
  <c r="J31" i="6"/>
  <c r="D31" i="6"/>
  <c r="J36" i="6" s="1"/>
  <c r="L36" i="6" s="1"/>
  <c r="K30" i="6"/>
  <c r="D30" i="6"/>
  <c r="J35" i="6" s="1"/>
  <c r="L35" i="6" s="1"/>
  <c r="K29" i="6"/>
  <c r="D29" i="6"/>
  <c r="J33" i="6" s="1"/>
  <c r="L33" i="6" s="1"/>
  <c r="K28" i="6"/>
  <c r="D28" i="6"/>
  <c r="J30" i="6" s="1"/>
  <c r="L30" i="6" s="1"/>
  <c r="K27" i="6"/>
  <c r="D27" i="6"/>
  <c r="J29" i="6" s="1"/>
  <c r="L29" i="6" s="1"/>
  <c r="K26" i="6"/>
  <c r="D26" i="6"/>
  <c r="J28" i="6" s="1"/>
  <c r="L28" i="6" s="1"/>
  <c r="L25" i="6"/>
  <c r="K25" i="6"/>
  <c r="J25" i="6"/>
  <c r="D25" i="6"/>
  <c r="J27" i="6" s="1"/>
  <c r="L27" i="6" s="1"/>
  <c r="L24" i="6"/>
  <c r="K24" i="6"/>
  <c r="J24" i="6"/>
  <c r="D24" i="6"/>
  <c r="J26" i="6" s="1"/>
  <c r="L26" i="6" s="1"/>
  <c r="K23" i="6"/>
  <c r="D23" i="6"/>
  <c r="J23" i="6" s="1"/>
  <c r="L23" i="6" s="1"/>
  <c r="K22" i="6"/>
  <c r="D22" i="6"/>
  <c r="J22" i="6" s="1"/>
  <c r="L22" i="6" s="1"/>
  <c r="K21" i="6"/>
  <c r="D21" i="6"/>
  <c r="J21" i="6" s="1"/>
  <c r="L21" i="6" s="1"/>
  <c r="K20" i="6"/>
  <c r="D20" i="6"/>
  <c r="J20" i="6" s="1"/>
  <c r="L20" i="6" s="1"/>
  <c r="K19" i="6"/>
  <c r="D19" i="6"/>
  <c r="J19" i="6" s="1"/>
  <c r="L19" i="6" s="1"/>
  <c r="L18" i="6"/>
  <c r="K18" i="6"/>
  <c r="J18" i="6"/>
  <c r="D18" i="6"/>
  <c r="J17" i="6" s="1"/>
  <c r="L17" i="6" s="1"/>
  <c r="K17" i="6"/>
  <c r="D17" i="6"/>
  <c r="J16" i="6" s="1"/>
  <c r="L16" i="6" s="1"/>
  <c r="K16" i="6"/>
  <c r="D16" i="6"/>
  <c r="J15" i="6" s="1"/>
  <c r="L15" i="6" s="1"/>
  <c r="K15" i="6"/>
  <c r="D15" i="6"/>
  <c r="J13" i="6" s="1"/>
  <c r="L13" i="6" s="1"/>
  <c r="K14" i="6"/>
  <c r="J14" i="6"/>
  <c r="L14" i="6" s="1"/>
  <c r="D14" i="6"/>
  <c r="J9" i="6" s="1"/>
  <c r="L9" i="6" s="1"/>
  <c r="K13" i="6"/>
  <c r="D13" i="6"/>
  <c r="K12" i="6"/>
  <c r="J12" i="6"/>
  <c r="L12" i="6" s="1"/>
  <c r="D12" i="6"/>
  <c r="L11" i="6"/>
  <c r="K11" i="6"/>
  <c r="J11" i="6"/>
  <c r="D11" i="6"/>
  <c r="K10" i="6"/>
  <c r="J10" i="6"/>
  <c r="L10" i="6" s="1"/>
  <c r="D10" i="6"/>
  <c r="K9" i="6"/>
  <c r="D9" i="6"/>
  <c r="K8" i="6"/>
  <c r="J8" i="6"/>
  <c r="L8" i="6" s="1"/>
  <c r="D8" i="6"/>
  <c r="M82" i="4"/>
  <c r="G82" i="4"/>
  <c r="B82" i="4"/>
  <c r="N81" i="4"/>
  <c r="M81" i="4"/>
  <c r="O81" i="4" s="1"/>
  <c r="G81" i="4"/>
  <c r="F81" i="4"/>
  <c r="H81" i="4" s="1"/>
  <c r="C81" i="4"/>
  <c r="B81" i="4"/>
  <c r="D81" i="4" s="1"/>
  <c r="O80" i="4"/>
  <c r="N80" i="4"/>
  <c r="M80" i="4"/>
  <c r="G80" i="4"/>
  <c r="F80" i="4"/>
  <c r="F82" i="4" s="1"/>
  <c r="D80" i="4"/>
  <c r="C80" i="4"/>
  <c r="B80" i="4"/>
  <c r="N79" i="4"/>
  <c r="M79" i="4"/>
  <c r="H79" i="4"/>
  <c r="G79" i="4"/>
  <c r="F79" i="4"/>
  <c r="C79" i="4"/>
  <c r="B79" i="4"/>
  <c r="G76" i="4"/>
  <c r="N75" i="4"/>
  <c r="M75" i="4"/>
  <c r="O75" i="4" s="1"/>
  <c r="G75" i="4"/>
  <c r="F75" i="4"/>
  <c r="H75" i="4" s="1"/>
  <c r="J75" i="4" s="1"/>
  <c r="K75" i="4" s="1"/>
  <c r="C75" i="4"/>
  <c r="B75" i="4"/>
  <c r="D75" i="4" s="1"/>
  <c r="O74" i="4"/>
  <c r="N74" i="4"/>
  <c r="M74" i="4"/>
  <c r="G74" i="4"/>
  <c r="F74" i="4"/>
  <c r="H74" i="4" s="1"/>
  <c r="J74" i="4" s="1"/>
  <c r="K74" i="4" s="1"/>
  <c r="D74" i="4"/>
  <c r="C74" i="4"/>
  <c r="B74" i="4"/>
  <c r="N73" i="4"/>
  <c r="O73" i="4" s="1"/>
  <c r="M73" i="4"/>
  <c r="H73" i="4"/>
  <c r="J73" i="4" s="1"/>
  <c r="K73" i="4" s="1"/>
  <c r="G73" i="4"/>
  <c r="F73" i="4"/>
  <c r="C73" i="4"/>
  <c r="D73" i="4" s="1"/>
  <c r="B73" i="4"/>
  <c r="N72" i="4"/>
  <c r="M72" i="4"/>
  <c r="O72" i="4" s="1"/>
  <c r="G72" i="4"/>
  <c r="H72" i="4" s="1"/>
  <c r="F72" i="4"/>
  <c r="C72" i="4"/>
  <c r="B72" i="4"/>
  <c r="D72" i="4" s="1"/>
  <c r="N71" i="4"/>
  <c r="M71" i="4"/>
  <c r="O71" i="4" s="1"/>
  <c r="G71" i="4"/>
  <c r="F71" i="4"/>
  <c r="C71" i="4"/>
  <c r="C76" i="4" s="1"/>
  <c r="B71" i="4"/>
  <c r="D71" i="4" s="1"/>
  <c r="N67" i="4"/>
  <c r="O67" i="4" s="1"/>
  <c r="M67" i="4"/>
  <c r="H67" i="4"/>
  <c r="G67" i="4"/>
  <c r="F67" i="4"/>
  <c r="C67" i="4"/>
  <c r="D67" i="4" s="1"/>
  <c r="B67" i="4"/>
  <c r="N66" i="4"/>
  <c r="N68" i="4" s="1"/>
  <c r="M66" i="4"/>
  <c r="G66" i="4"/>
  <c r="F66" i="4"/>
  <c r="F68" i="4" s="1"/>
  <c r="C66" i="4"/>
  <c r="B66" i="4"/>
  <c r="O62" i="4"/>
  <c r="N62" i="4"/>
  <c r="M62" i="4"/>
  <c r="G62" i="4"/>
  <c r="F62" i="4"/>
  <c r="H62" i="4" s="1"/>
  <c r="J62" i="4" s="1"/>
  <c r="K62" i="4" s="1"/>
  <c r="D62" i="4"/>
  <c r="C62" i="4"/>
  <c r="B62" i="4"/>
  <c r="N61" i="4"/>
  <c r="O61" i="4" s="1"/>
  <c r="M61" i="4"/>
  <c r="H61" i="4"/>
  <c r="G61" i="4"/>
  <c r="F61" i="4"/>
  <c r="C61" i="4"/>
  <c r="D61" i="4" s="1"/>
  <c r="B61" i="4"/>
  <c r="N60" i="4"/>
  <c r="M60" i="4"/>
  <c r="G60" i="4"/>
  <c r="H60" i="4" s="1"/>
  <c r="F60" i="4"/>
  <c r="C60" i="4"/>
  <c r="B60" i="4"/>
  <c r="N59" i="4"/>
  <c r="N63" i="4" s="1"/>
  <c r="M59" i="4"/>
  <c r="G59" i="4"/>
  <c r="F59" i="4"/>
  <c r="H59" i="4" s="1"/>
  <c r="C59" i="4"/>
  <c r="B59" i="4"/>
  <c r="N55" i="4"/>
  <c r="O55" i="4" s="1"/>
  <c r="M55" i="4"/>
  <c r="H55" i="4"/>
  <c r="J55" i="4" s="1"/>
  <c r="K55" i="4" s="1"/>
  <c r="G55" i="4"/>
  <c r="F55" i="4"/>
  <c r="C55" i="4"/>
  <c r="D55" i="4" s="1"/>
  <c r="B55" i="4"/>
  <c r="N54" i="4"/>
  <c r="M54" i="4"/>
  <c r="G54" i="4"/>
  <c r="F54" i="4"/>
  <c r="F56" i="4" s="1"/>
  <c r="C54" i="4"/>
  <c r="B54" i="4"/>
  <c r="F51" i="4"/>
  <c r="O50" i="4"/>
  <c r="N50" i="4"/>
  <c r="M50" i="4"/>
  <c r="J50" i="4"/>
  <c r="K50" i="4" s="1"/>
  <c r="G50" i="4"/>
  <c r="F50" i="4"/>
  <c r="H50" i="4" s="1"/>
  <c r="D50" i="4"/>
  <c r="C50" i="4"/>
  <c r="B50" i="4"/>
  <c r="N49" i="4"/>
  <c r="O49" i="4" s="1"/>
  <c r="M49" i="4"/>
  <c r="H49" i="4"/>
  <c r="J49" i="4" s="1"/>
  <c r="K49" i="4" s="1"/>
  <c r="G49" i="4"/>
  <c r="F49" i="4"/>
  <c r="C49" i="4"/>
  <c r="D49" i="4" s="1"/>
  <c r="B49" i="4"/>
  <c r="N48" i="4"/>
  <c r="M48" i="4"/>
  <c r="G48" i="4"/>
  <c r="F48" i="4"/>
  <c r="C48" i="4"/>
  <c r="B48" i="4"/>
  <c r="F45" i="4"/>
  <c r="O44" i="4"/>
  <c r="N44" i="4"/>
  <c r="M44" i="4"/>
  <c r="H44" i="4"/>
  <c r="G44" i="4"/>
  <c r="F44" i="4"/>
  <c r="D44" i="4"/>
  <c r="J44" i="4" s="1"/>
  <c r="K44" i="4" s="1"/>
  <c r="C44" i="4"/>
  <c r="B44" i="4"/>
  <c r="N43" i="4"/>
  <c r="M43" i="4"/>
  <c r="H43" i="4"/>
  <c r="G43" i="4"/>
  <c r="F43" i="4"/>
  <c r="C43" i="4"/>
  <c r="B43" i="4"/>
  <c r="N42" i="4"/>
  <c r="M42" i="4"/>
  <c r="G42" i="4"/>
  <c r="F42" i="4"/>
  <c r="C42" i="4"/>
  <c r="B42" i="4"/>
  <c r="O38" i="4"/>
  <c r="N38" i="4"/>
  <c r="M38" i="4"/>
  <c r="G38" i="4"/>
  <c r="F38" i="4"/>
  <c r="H38" i="4" s="1"/>
  <c r="J38" i="4" s="1"/>
  <c r="K38" i="4" s="1"/>
  <c r="D38" i="4"/>
  <c r="C38" i="4"/>
  <c r="B38" i="4"/>
  <c r="N37" i="4"/>
  <c r="O37" i="4" s="1"/>
  <c r="M37" i="4"/>
  <c r="H37" i="4"/>
  <c r="G37" i="4"/>
  <c r="F37" i="4"/>
  <c r="C37" i="4"/>
  <c r="D37" i="4" s="1"/>
  <c r="B37" i="4"/>
  <c r="N36" i="4"/>
  <c r="M36" i="4"/>
  <c r="G36" i="4"/>
  <c r="F36" i="4"/>
  <c r="C36" i="4"/>
  <c r="B36" i="4"/>
  <c r="O35" i="4"/>
  <c r="N35" i="4"/>
  <c r="M35" i="4"/>
  <c r="G35" i="4"/>
  <c r="G39" i="4" s="1"/>
  <c r="F35" i="4"/>
  <c r="H35" i="4" s="1"/>
  <c r="D35" i="4"/>
  <c r="C35" i="4"/>
  <c r="B35" i="4"/>
  <c r="N31" i="4"/>
  <c r="O31" i="4" s="1"/>
  <c r="M31" i="4"/>
  <c r="H31" i="4"/>
  <c r="G31" i="4"/>
  <c r="F31" i="4"/>
  <c r="C31" i="4"/>
  <c r="B31" i="4"/>
  <c r="D31" i="4" s="1"/>
  <c r="N30" i="4"/>
  <c r="M30" i="4"/>
  <c r="O30" i="4" s="1"/>
  <c r="G30" i="4"/>
  <c r="G32" i="4" s="1"/>
  <c r="F30" i="4"/>
  <c r="H30" i="4" s="1"/>
  <c r="C30" i="4"/>
  <c r="B30" i="4"/>
  <c r="D30" i="4" s="1"/>
  <c r="N29" i="4"/>
  <c r="M29" i="4"/>
  <c r="O29" i="4" s="1"/>
  <c r="O32" i="4" s="1"/>
  <c r="G29" i="4"/>
  <c r="F29" i="4"/>
  <c r="C29" i="4"/>
  <c r="C32" i="4" s="1"/>
  <c r="B29" i="4"/>
  <c r="D29" i="4" s="1"/>
  <c r="D32" i="4" s="1"/>
  <c r="O26" i="4"/>
  <c r="N26" i="4"/>
  <c r="M26" i="4"/>
  <c r="J26" i="4"/>
  <c r="K26" i="4" s="1"/>
  <c r="G26" i="4"/>
  <c r="F26" i="4"/>
  <c r="H26" i="4" s="1"/>
  <c r="D26" i="4"/>
  <c r="C26" i="4"/>
  <c r="B26" i="4"/>
  <c r="N23" i="4"/>
  <c r="C23" i="4"/>
  <c r="N22" i="4"/>
  <c r="M22" i="4"/>
  <c r="O22" i="4" s="1"/>
  <c r="G22" i="4"/>
  <c r="H22" i="4" s="1"/>
  <c r="J22" i="4" s="1"/>
  <c r="K22" i="4" s="1"/>
  <c r="F22" i="4"/>
  <c r="C22" i="4"/>
  <c r="B22" i="4"/>
  <c r="D22" i="4" s="1"/>
  <c r="O21" i="4"/>
  <c r="N21" i="4"/>
  <c r="M21" i="4"/>
  <c r="G21" i="4"/>
  <c r="G23" i="4" s="1"/>
  <c r="F21" i="4"/>
  <c r="H21" i="4" s="1"/>
  <c r="J21" i="4" s="1"/>
  <c r="K21" i="4" s="1"/>
  <c r="D21" i="4"/>
  <c r="C21" i="4"/>
  <c r="B21" i="4"/>
  <c r="O20" i="4"/>
  <c r="O23" i="4" s="1"/>
  <c r="N20" i="4"/>
  <c r="M20" i="4"/>
  <c r="M23" i="4" s="1"/>
  <c r="J20" i="4"/>
  <c r="K20" i="4" s="1"/>
  <c r="H20" i="4"/>
  <c r="G20" i="4"/>
  <c r="F20" i="4"/>
  <c r="D20" i="4"/>
  <c r="D23" i="4" s="1"/>
  <c r="C20" i="4"/>
  <c r="B20" i="4"/>
  <c r="B23" i="4" s="1"/>
  <c r="N16" i="4"/>
  <c r="M16" i="4"/>
  <c r="O16" i="4" s="1"/>
  <c r="G16" i="4"/>
  <c r="H16" i="4" s="1"/>
  <c r="J16" i="4" s="1"/>
  <c r="K16" i="4" s="1"/>
  <c r="F16" i="4"/>
  <c r="C16" i="4"/>
  <c r="B16" i="4"/>
  <c r="D16" i="4" s="1"/>
  <c r="N15" i="4"/>
  <c r="M15" i="4"/>
  <c r="O15" i="4" s="1"/>
  <c r="G15" i="4"/>
  <c r="F15" i="4"/>
  <c r="H15" i="4" s="1"/>
  <c r="C15" i="4"/>
  <c r="B15" i="4"/>
  <c r="D15" i="4" s="1"/>
  <c r="O14" i="4"/>
  <c r="N14" i="4"/>
  <c r="M14" i="4"/>
  <c r="G14" i="4"/>
  <c r="F14" i="4"/>
  <c r="H14" i="4" s="1"/>
  <c r="C14" i="4"/>
  <c r="D14" i="4" s="1"/>
  <c r="J14" i="4" s="1"/>
  <c r="K14" i="4" s="1"/>
  <c r="B14" i="4"/>
  <c r="N13" i="4"/>
  <c r="O13" i="4" s="1"/>
  <c r="M13" i="4"/>
  <c r="G13" i="4"/>
  <c r="H13" i="4" s="1"/>
  <c r="J13" i="4" s="1"/>
  <c r="K13" i="4" s="1"/>
  <c r="F13" i="4"/>
  <c r="C13" i="4"/>
  <c r="D13" i="4" s="1"/>
  <c r="B13" i="4"/>
  <c r="N12" i="4"/>
  <c r="N17" i="4" s="1"/>
  <c r="M12" i="4"/>
  <c r="G12" i="4"/>
  <c r="F12" i="4"/>
  <c r="C12" i="4"/>
  <c r="C17" i="4" s="1"/>
  <c r="B12" i="4"/>
  <c r="O9" i="4"/>
  <c r="N9" i="4"/>
  <c r="M9" i="4"/>
  <c r="G9" i="4"/>
  <c r="F9" i="4"/>
  <c r="D9" i="4"/>
  <c r="C9" i="4"/>
  <c r="B9" i="4"/>
  <c r="N21" i="3"/>
  <c r="M21" i="3"/>
  <c r="O21" i="3" s="1"/>
  <c r="G21" i="3"/>
  <c r="F21" i="3"/>
  <c r="H21" i="3" s="1"/>
  <c r="J21" i="3" s="1"/>
  <c r="K21" i="3" s="1"/>
  <c r="C21" i="3"/>
  <c r="B21" i="3"/>
  <c r="D21" i="3" s="1"/>
  <c r="N20" i="3"/>
  <c r="O20" i="3" s="1"/>
  <c r="M20" i="3"/>
  <c r="G20" i="3"/>
  <c r="F20" i="3"/>
  <c r="H20" i="3" s="1"/>
  <c r="J20" i="3" s="1"/>
  <c r="K20" i="3" s="1"/>
  <c r="C20" i="3"/>
  <c r="B20" i="3"/>
  <c r="D20" i="3" s="1"/>
  <c r="N19" i="3"/>
  <c r="O19" i="3" s="1"/>
  <c r="M19" i="3"/>
  <c r="G19" i="3"/>
  <c r="H19" i="3" s="1"/>
  <c r="J19" i="3" s="1"/>
  <c r="K19" i="3" s="1"/>
  <c r="F19" i="3"/>
  <c r="C19" i="3"/>
  <c r="D19" i="3" s="1"/>
  <c r="B19" i="3"/>
  <c r="N18" i="3"/>
  <c r="M18" i="3"/>
  <c r="G18" i="3"/>
  <c r="H18" i="3" s="1"/>
  <c r="F18" i="3"/>
  <c r="C18" i="3"/>
  <c r="B18" i="3"/>
  <c r="O17" i="3"/>
  <c r="N17" i="3"/>
  <c r="M17" i="3"/>
  <c r="G17" i="3"/>
  <c r="F17" i="3"/>
  <c r="C17" i="3"/>
  <c r="B17" i="3"/>
  <c r="D17" i="3" s="1"/>
  <c r="O16" i="3"/>
  <c r="N16" i="3"/>
  <c r="M16" i="3"/>
  <c r="G16" i="3"/>
  <c r="F16" i="3"/>
  <c r="H16" i="3" s="1"/>
  <c r="J16" i="3" s="1"/>
  <c r="K16" i="3" s="1"/>
  <c r="D16" i="3"/>
  <c r="C16" i="3"/>
  <c r="B16" i="3"/>
  <c r="O15" i="3"/>
  <c r="N15" i="3"/>
  <c r="M15" i="3"/>
  <c r="J15" i="3"/>
  <c r="K15" i="3" s="1"/>
  <c r="H15" i="3"/>
  <c r="G15" i="3"/>
  <c r="F15" i="3"/>
  <c r="D15" i="3"/>
  <c r="C15" i="3"/>
  <c r="B15" i="3"/>
  <c r="N14" i="3"/>
  <c r="O14" i="3" s="1"/>
  <c r="M14" i="3"/>
  <c r="G14" i="3"/>
  <c r="F14" i="3"/>
  <c r="H14" i="3" s="1"/>
  <c r="C14" i="3"/>
  <c r="B14" i="3"/>
  <c r="D14" i="3" s="1"/>
  <c r="N13" i="3"/>
  <c r="M13" i="3"/>
  <c r="O13" i="3" s="1"/>
  <c r="H13" i="3"/>
  <c r="J13" i="3" s="1"/>
  <c r="K13" i="3" s="1"/>
  <c r="G13" i="3"/>
  <c r="F13" i="3"/>
  <c r="C13" i="3"/>
  <c r="B13" i="3"/>
  <c r="D13" i="3" s="1"/>
  <c r="N12" i="3"/>
  <c r="M12" i="3"/>
  <c r="O12" i="3" s="1"/>
  <c r="G12" i="3"/>
  <c r="F12" i="3"/>
  <c r="H12" i="3" s="1"/>
  <c r="J12" i="3" s="1"/>
  <c r="K12" i="3" s="1"/>
  <c r="D12" i="3"/>
  <c r="C12" i="3"/>
  <c r="B12" i="3"/>
  <c r="N11" i="3"/>
  <c r="O11" i="3" s="1"/>
  <c r="M11" i="3"/>
  <c r="H11" i="3"/>
  <c r="J11" i="3" s="1"/>
  <c r="K11" i="3" s="1"/>
  <c r="G11" i="3"/>
  <c r="F11" i="3"/>
  <c r="C11" i="3"/>
  <c r="D11" i="3" s="1"/>
  <c r="B11" i="3"/>
  <c r="N10" i="3"/>
  <c r="M10" i="3"/>
  <c r="O10" i="3" s="1"/>
  <c r="G10" i="3"/>
  <c r="H10" i="3" s="1"/>
  <c r="F10" i="3"/>
  <c r="C10" i="3"/>
  <c r="B10" i="3"/>
  <c r="D10" i="3" s="1"/>
  <c r="N9" i="3"/>
  <c r="M9" i="3"/>
  <c r="O9" i="3" s="1"/>
  <c r="G9" i="3"/>
  <c r="F9" i="3"/>
  <c r="H9" i="3" s="1"/>
  <c r="C9" i="3"/>
  <c r="B9" i="3"/>
  <c r="D9" i="3" s="1"/>
  <c r="O8" i="3"/>
  <c r="N8" i="3"/>
  <c r="M8" i="3"/>
  <c r="G8" i="3"/>
  <c r="G23" i="3" s="1"/>
  <c r="G25" i="3" s="1"/>
  <c r="F8" i="3"/>
  <c r="F23" i="3" s="1"/>
  <c r="F25" i="3" s="1"/>
  <c r="D8" i="3"/>
  <c r="C8" i="3"/>
  <c r="B8" i="3"/>
  <c r="B23" i="3" s="1"/>
  <c r="B25" i="3" s="1"/>
  <c r="D80" i="2"/>
  <c r="C80" i="2"/>
  <c r="B80" i="2"/>
  <c r="C79" i="2"/>
  <c r="D79" i="2" s="1"/>
  <c r="B79" i="2"/>
  <c r="C78" i="2"/>
  <c r="B78" i="2"/>
  <c r="D78" i="2" s="1"/>
  <c r="D81" i="2" s="1"/>
  <c r="C74" i="2"/>
  <c r="B74" i="2"/>
  <c r="D74" i="2" s="1"/>
  <c r="C73" i="2"/>
  <c r="D73" i="2" s="1"/>
  <c r="B73" i="2"/>
  <c r="C72" i="2"/>
  <c r="B72" i="2"/>
  <c r="D72" i="2" s="1"/>
  <c r="C71" i="2"/>
  <c r="B71" i="2"/>
  <c r="D71" i="2" s="1"/>
  <c r="D70" i="2"/>
  <c r="C70" i="2"/>
  <c r="C75" i="2" s="1"/>
  <c r="B70" i="2"/>
  <c r="B75" i="2" s="1"/>
  <c r="C67" i="2"/>
  <c r="C66" i="2"/>
  <c r="B66" i="2"/>
  <c r="B67" i="2" s="1"/>
  <c r="D65" i="2"/>
  <c r="C65" i="2"/>
  <c r="B65" i="2"/>
  <c r="B62" i="2"/>
  <c r="C61" i="2"/>
  <c r="D61" i="2" s="1"/>
  <c r="B61" i="2"/>
  <c r="C60" i="2"/>
  <c r="B60" i="2"/>
  <c r="D60" i="2" s="1"/>
  <c r="C59" i="2"/>
  <c r="B59" i="2"/>
  <c r="D59" i="2" s="1"/>
  <c r="D58" i="2"/>
  <c r="C58" i="2"/>
  <c r="C62" i="2" s="1"/>
  <c r="B58" i="2"/>
  <c r="C55" i="2"/>
  <c r="C54" i="2"/>
  <c r="B54" i="2"/>
  <c r="B55" i="2" s="1"/>
  <c r="D53" i="2"/>
  <c r="C53" i="2"/>
  <c r="B53" i="2"/>
  <c r="B50" i="2"/>
  <c r="C49" i="2"/>
  <c r="B49" i="2"/>
  <c r="D49" i="2" s="1"/>
  <c r="C48" i="2"/>
  <c r="B48" i="2"/>
  <c r="D48" i="2" s="1"/>
  <c r="C47" i="2"/>
  <c r="C50" i="2" s="1"/>
  <c r="B47" i="2"/>
  <c r="D47" i="2" s="1"/>
  <c r="D50" i="2" s="1"/>
  <c r="C43" i="2"/>
  <c r="B43" i="2"/>
  <c r="D43" i="2" s="1"/>
  <c r="C42" i="2"/>
  <c r="C44" i="2" s="1"/>
  <c r="B42" i="2"/>
  <c r="B44" i="2" s="1"/>
  <c r="D41" i="2"/>
  <c r="C41" i="2"/>
  <c r="B41" i="2"/>
  <c r="C37" i="2"/>
  <c r="D37" i="2" s="1"/>
  <c r="B37" i="2"/>
  <c r="C36" i="2"/>
  <c r="B36" i="2"/>
  <c r="D36" i="2" s="1"/>
  <c r="C35" i="2"/>
  <c r="B35" i="2"/>
  <c r="D35" i="2" s="1"/>
  <c r="D34" i="2"/>
  <c r="C34" i="2"/>
  <c r="C38" i="2" s="1"/>
  <c r="B34" i="2"/>
  <c r="C31" i="2"/>
  <c r="C30" i="2"/>
  <c r="B30" i="2"/>
  <c r="D30" i="2" s="1"/>
  <c r="D29" i="2"/>
  <c r="C29" i="2"/>
  <c r="B29" i="2"/>
  <c r="C28" i="2"/>
  <c r="B28" i="2"/>
  <c r="D28" i="2" s="1"/>
  <c r="C25" i="2"/>
  <c r="D25" i="2" s="1"/>
  <c r="B25" i="2"/>
  <c r="C21" i="2"/>
  <c r="B21" i="2"/>
  <c r="B22" i="2" s="1"/>
  <c r="D20" i="2"/>
  <c r="C20" i="2"/>
  <c r="B20" i="2"/>
  <c r="C19" i="2"/>
  <c r="C22" i="2" s="1"/>
  <c r="B19" i="2"/>
  <c r="B16" i="2"/>
  <c r="D15" i="2"/>
  <c r="C15" i="2"/>
  <c r="B15" i="2"/>
  <c r="C14" i="2"/>
  <c r="B14" i="2"/>
  <c r="D14" i="2" s="1"/>
  <c r="C13" i="2"/>
  <c r="D13" i="2" s="1"/>
  <c r="B13" i="2"/>
  <c r="C12" i="2"/>
  <c r="B12" i="2"/>
  <c r="D12" i="2" s="1"/>
  <c r="C11" i="2"/>
  <c r="C16" i="2" s="1"/>
  <c r="B11" i="2"/>
  <c r="D11" i="2" s="1"/>
  <c r="D8" i="2"/>
  <c r="C8" i="2"/>
  <c r="B8" i="2"/>
  <c r="D20" i="1"/>
  <c r="C20" i="1"/>
  <c r="B20" i="1"/>
  <c r="C19" i="1"/>
  <c r="B19" i="1"/>
  <c r="D19" i="1" s="1"/>
  <c r="C18" i="1"/>
  <c r="B18" i="1"/>
  <c r="D18" i="1" s="1"/>
  <c r="C17" i="1"/>
  <c r="B17" i="1"/>
  <c r="D17" i="1" s="1"/>
  <c r="C16" i="1"/>
  <c r="B16" i="1"/>
  <c r="D16" i="1" s="1"/>
  <c r="D15" i="1"/>
  <c r="C15" i="1"/>
  <c r="B15" i="1"/>
  <c r="C14" i="1"/>
  <c r="D14" i="1" s="1"/>
  <c r="B14" i="1"/>
  <c r="C13" i="1"/>
  <c r="B13" i="1"/>
  <c r="D13" i="1" s="1"/>
  <c r="D12" i="1"/>
  <c r="C12" i="1"/>
  <c r="B12" i="1"/>
  <c r="C11" i="1"/>
  <c r="B11" i="1"/>
  <c r="D11" i="1" s="1"/>
  <c r="C10" i="1"/>
  <c r="B10" i="1"/>
  <c r="D10" i="1" s="1"/>
  <c r="C9" i="1"/>
  <c r="B9" i="1"/>
  <c r="D9" i="1" s="1"/>
  <c r="C8" i="1"/>
  <c r="B8" i="1"/>
  <c r="D8" i="1" s="1"/>
  <c r="D7" i="1"/>
  <c r="C7" i="1"/>
  <c r="C22" i="1" s="1"/>
  <c r="C24" i="1" s="1"/>
  <c r="B7" i="1"/>
  <c r="D62" i="2" l="1"/>
  <c r="D31" i="2"/>
  <c r="D55" i="2"/>
  <c r="D67" i="2"/>
  <c r="J9" i="3"/>
  <c r="K9" i="3" s="1"/>
  <c r="D22" i="1"/>
  <c r="D24" i="1" s="1"/>
  <c r="D38" i="2"/>
  <c r="J14" i="3"/>
  <c r="K14" i="3" s="1"/>
  <c r="D75" i="2"/>
  <c r="J10" i="3"/>
  <c r="K10" i="3" s="1"/>
  <c r="D16" i="2"/>
  <c r="H8" i="3"/>
  <c r="O18" i="3"/>
  <c r="O23" i="3" s="1"/>
  <c r="D12" i="4"/>
  <c r="D17" i="4" s="1"/>
  <c r="B17" i="4"/>
  <c r="N32" i="4"/>
  <c r="N39" i="4"/>
  <c r="F39" i="4"/>
  <c r="N51" i="4"/>
  <c r="N56" i="4"/>
  <c r="F63" i="4"/>
  <c r="N76" i="4"/>
  <c r="M76" i="4"/>
  <c r="L40" i="6"/>
  <c r="L9" i="7"/>
  <c r="B22" i="1"/>
  <c r="B24" i="1" s="1"/>
  <c r="M23" i="3"/>
  <c r="M25" i="3" s="1"/>
  <c r="D43" i="4"/>
  <c r="C45" i="4"/>
  <c r="L12" i="7"/>
  <c r="B81" i="2"/>
  <c r="B83" i="2" s="1"/>
  <c r="B85" i="2" s="1"/>
  <c r="D18" i="3"/>
  <c r="J18" i="3" s="1"/>
  <c r="K18" i="3" s="1"/>
  <c r="H9" i="4"/>
  <c r="J9" i="4" s="1"/>
  <c r="K9" i="4" s="1"/>
  <c r="F17" i="4"/>
  <c r="C39" i="4"/>
  <c r="D36" i="4"/>
  <c r="B39" i="4"/>
  <c r="D42" i="4"/>
  <c r="D45" i="4" s="1"/>
  <c r="B45" i="4"/>
  <c r="D60" i="4"/>
  <c r="J60" i="4" s="1"/>
  <c r="K60" i="4" s="1"/>
  <c r="B63" i="4"/>
  <c r="B84" i="4" s="1"/>
  <c r="B86" i="4" s="1"/>
  <c r="B68" i="4"/>
  <c r="D66" i="4"/>
  <c r="D68" i="4" s="1"/>
  <c r="D76" i="4"/>
  <c r="C82" i="4"/>
  <c r="D79" i="4"/>
  <c r="D82" i="4" s="1"/>
  <c r="L44" i="8"/>
  <c r="D42" i="2"/>
  <c r="D44" i="2" s="1"/>
  <c r="D66" i="2"/>
  <c r="C81" i="2"/>
  <c r="C83" i="2" s="1"/>
  <c r="C85" i="2" s="1"/>
  <c r="G17" i="4"/>
  <c r="H12" i="4"/>
  <c r="J15" i="4"/>
  <c r="K15" i="4" s="1"/>
  <c r="J30" i="4"/>
  <c r="K30" i="4" s="1"/>
  <c r="J31" i="4"/>
  <c r="K31" i="4" s="1"/>
  <c r="D39" i="4"/>
  <c r="D48" i="4"/>
  <c r="D51" i="4" s="1"/>
  <c r="B51" i="4"/>
  <c r="B56" i="4"/>
  <c r="D54" i="4"/>
  <c r="D56" i="4" s="1"/>
  <c r="C68" i="4"/>
  <c r="F84" i="4"/>
  <c r="F86" i="4" s="1"/>
  <c r="J81" i="4"/>
  <c r="K81" i="4" s="1"/>
  <c r="L10" i="7"/>
  <c r="B38" i="2"/>
  <c r="D54" i="2"/>
  <c r="D21" i="2"/>
  <c r="B31" i="2"/>
  <c r="C23" i="3"/>
  <c r="C25" i="3" s="1"/>
  <c r="N23" i="3"/>
  <c r="N25" i="3" s="1"/>
  <c r="H17" i="3"/>
  <c r="J17" i="3" s="1"/>
  <c r="K17" i="3" s="1"/>
  <c r="H29" i="4"/>
  <c r="F32" i="4"/>
  <c r="J35" i="4"/>
  <c r="K35" i="4" s="1"/>
  <c r="H36" i="4"/>
  <c r="J36" i="4" s="1"/>
  <c r="K36" i="4" s="1"/>
  <c r="J37" i="4"/>
  <c r="K37" i="4" s="1"/>
  <c r="J43" i="4"/>
  <c r="K43" i="4" s="1"/>
  <c r="C51" i="4"/>
  <c r="C56" i="4"/>
  <c r="C63" i="4"/>
  <c r="J61" i="4"/>
  <c r="K61" i="4" s="1"/>
  <c r="J67" i="4"/>
  <c r="K67" i="4" s="1"/>
  <c r="H71" i="4"/>
  <c r="F76" i="4"/>
  <c r="J72" i="4"/>
  <c r="K72" i="4" s="1"/>
  <c r="L13" i="7"/>
  <c r="G45" i="4"/>
  <c r="H42" i="4"/>
  <c r="H63" i="4"/>
  <c r="H66" i="4"/>
  <c r="G68" i="4"/>
  <c r="G84" i="4" s="1"/>
  <c r="G86" i="4" s="1"/>
  <c r="H82" i="4"/>
  <c r="J79" i="4"/>
  <c r="K79" i="4" s="1"/>
  <c r="D19" i="2"/>
  <c r="O12" i="4"/>
  <c r="O17" i="4" s="1"/>
  <c r="M17" i="4"/>
  <c r="O36" i="4"/>
  <c r="O39" i="4" s="1"/>
  <c r="M39" i="4"/>
  <c r="O42" i="4"/>
  <c r="M45" i="4"/>
  <c r="O43" i="4"/>
  <c r="N45" i="4"/>
  <c r="G51" i="4"/>
  <c r="H48" i="4"/>
  <c r="H54" i="4"/>
  <c r="G56" i="4"/>
  <c r="G63" i="4"/>
  <c r="O60" i="4"/>
  <c r="M63" i="4"/>
  <c r="M84" i="4" s="1"/>
  <c r="M86" i="4" s="1"/>
  <c r="M68" i="4"/>
  <c r="O66" i="4"/>
  <c r="O68" i="4" s="1"/>
  <c r="B76" i="4"/>
  <c r="L11" i="7"/>
  <c r="F23" i="4"/>
  <c r="H23" i="4"/>
  <c r="J23" i="4" s="1"/>
  <c r="K23" i="4" s="1"/>
  <c r="O48" i="4"/>
  <c r="O51" i="4" s="1"/>
  <c r="M51" i="4"/>
  <c r="M56" i="4"/>
  <c r="O54" i="4"/>
  <c r="O56" i="4" s="1"/>
  <c r="O76" i="4"/>
  <c r="N82" i="4"/>
  <c r="O79" i="4"/>
  <c r="O82" i="4" s="1"/>
  <c r="L14" i="7"/>
  <c r="L8" i="7"/>
  <c r="J38" i="6"/>
  <c r="J40" i="6" s="1"/>
  <c r="L8" i="9"/>
  <c r="L44" i="9" s="1"/>
  <c r="D59" i="4"/>
  <c r="O59" i="4"/>
  <c r="H80" i="4"/>
  <c r="J80" i="4" s="1"/>
  <c r="K80" i="4" s="1"/>
  <c r="B32" i="4"/>
  <c r="M32" i="4"/>
  <c r="J8" i="3" l="1"/>
  <c r="K8" i="3" s="1"/>
  <c r="H23" i="3"/>
  <c r="J23" i="3" s="1"/>
  <c r="K23" i="3" s="1"/>
  <c r="L41" i="7"/>
  <c r="H32" i="4"/>
  <c r="J32" i="4" s="1"/>
  <c r="K32" i="4" s="1"/>
  <c r="J29" i="4"/>
  <c r="K29" i="4" s="1"/>
  <c r="J82" i="4"/>
  <c r="K82" i="4" s="1"/>
  <c r="H84" i="4"/>
  <c r="J84" i="4" s="1"/>
  <c r="K84" i="4" s="1"/>
  <c r="D23" i="3"/>
  <c r="O45" i="4"/>
  <c r="J66" i="4"/>
  <c r="K66" i="4" s="1"/>
  <c r="H68" i="4"/>
  <c r="J68" i="4" s="1"/>
  <c r="K68" i="4" s="1"/>
  <c r="J54" i="4"/>
  <c r="K54" i="4" s="1"/>
  <c r="H56" i="4"/>
  <c r="J56" i="4" s="1"/>
  <c r="K56" i="4" s="1"/>
  <c r="J12" i="4"/>
  <c r="K12" i="4" s="1"/>
  <c r="H17" i="4"/>
  <c r="J17" i="4" s="1"/>
  <c r="K17" i="4" s="1"/>
  <c r="C84" i="4"/>
  <c r="C86" i="4" s="1"/>
  <c r="H39" i="4"/>
  <c r="J39" i="4" s="1"/>
  <c r="K39" i="4" s="1"/>
  <c r="D63" i="4"/>
  <c r="J63" i="4" s="1"/>
  <c r="K63" i="4" s="1"/>
  <c r="J59" i="4"/>
  <c r="K59" i="4" s="1"/>
  <c r="D84" i="4"/>
  <c r="N84" i="4"/>
  <c r="N86" i="4" s="1"/>
  <c r="J71" i="4"/>
  <c r="K71" i="4" s="1"/>
  <c r="H76" i="4"/>
  <c r="J76" i="4" s="1"/>
  <c r="K76" i="4" s="1"/>
  <c r="O63" i="4"/>
  <c r="O84" i="4" s="1"/>
  <c r="H51" i="4"/>
  <c r="J51" i="4" s="1"/>
  <c r="K51" i="4" s="1"/>
  <c r="J48" i="4"/>
  <c r="K48" i="4" s="1"/>
  <c r="D22" i="2"/>
  <c r="D83" i="2" s="1"/>
  <c r="D85" i="2" s="1"/>
  <c r="H45" i="4"/>
  <c r="J45" i="4" s="1"/>
  <c r="K45" i="4" s="1"/>
  <c r="J42" i="4"/>
  <c r="K42" i="4" s="1"/>
</calcChain>
</file>

<file path=xl/sharedStrings.xml><?xml version="1.0" encoding="utf-8"?>
<sst xmlns="http://schemas.openxmlformats.org/spreadsheetml/2006/main" count="1063" uniqueCount="119">
  <si>
    <t>Operating Expenses</t>
  </si>
  <si>
    <t>NI-ABAE</t>
  </si>
  <si>
    <t>For Period Nov-2017 through Feb-2020</t>
  </si>
  <si>
    <t>1. NI</t>
  </si>
  <si>
    <t>2. ABAE</t>
  </si>
  <si>
    <t>Total</t>
  </si>
  <si>
    <t>Conditional Cash Transfers</t>
  </si>
  <si>
    <t>Field Activities and Transportation</t>
  </si>
  <si>
    <t>Field Supplies</t>
  </si>
  <si>
    <t>Stakeholder Relations</t>
  </si>
  <si>
    <t>ABAE Salaries, Taxes, Pension</t>
  </si>
  <si>
    <t>NI Salaries and Payroll Taxes</t>
  </si>
  <si>
    <t>Contractors and Consultants</t>
  </si>
  <si>
    <t>Office Expenses and Accessories</t>
  </si>
  <si>
    <t>Communications and Technology</t>
  </si>
  <si>
    <t>Accounting, Legal, Insurance</t>
  </si>
  <si>
    <t>Travel</t>
  </si>
  <si>
    <t>Miscellaneous Expenses</t>
  </si>
  <si>
    <t>Field Expenses</t>
  </si>
  <si>
    <t>Other</t>
  </si>
  <si>
    <t>TOTAL OPERATING EXPENSE</t>
  </si>
  <si>
    <t>8000 Grants (CCTs)</t>
  </si>
  <si>
    <t>6420 Field transportation</t>
  </si>
  <si>
    <t>7500 Transportation</t>
  </si>
  <si>
    <t>6421 Field Transportation for CCT Disbursements</t>
  </si>
  <si>
    <t>6422 Field Transportation for Non-Disbursement Activities</t>
  </si>
  <si>
    <t>6470 Field activities</t>
  </si>
  <si>
    <t>Total Field Activities and Transportation</t>
  </si>
  <si>
    <t>6410 Field supplies</t>
  </si>
  <si>
    <t>6450 Field clinic gifts</t>
  </si>
  <si>
    <t>6900 Printing &amp; Stationery</t>
  </si>
  <si>
    <t>Total Field Supplies</t>
  </si>
  <si>
    <t>7700 Stakeholder Relations</t>
  </si>
  <si>
    <t>5100 Field Staff Salaries</t>
  </si>
  <si>
    <t>5250 Field Staff Taxes</t>
  </si>
  <si>
    <t>5600 Pension plan accruals and contributions</t>
  </si>
  <si>
    <t>Total ABAE Salaries, Taxes, Pension</t>
  </si>
  <si>
    <t>5000 Salaries</t>
  </si>
  <si>
    <t>5200 Employer Payroll Taxes</t>
  </si>
  <si>
    <t>5300 Payroll Fees</t>
  </si>
  <si>
    <t>5400 Other employee benefits</t>
  </si>
  <si>
    <t>Total NI Salaries and Payroll Taxes</t>
  </si>
  <si>
    <t>5150 Freelancers</t>
  </si>
  <si>
    <t>5190 Contractors</t>
  </si>
  <si>
    <t>7000 Research</t>
  </si>
  <si>
    <t>Total Contractors and Consultants</t>
  </si>
  <si>
    <t>7600 Accessories</t>
  </si>
  <si>
    <t>6100 Bank, Transfer and Donation Fees</t>
  </si>
  <si>
    <t>6800 Office Expenses</t>
  </si>
  <si>
    <t>Total Office Expenses and Accessories</t>
  </si>
  <si>
    <t>7200 Telephone &amp; Internet</t>
  </si>
  <si>
    <t>7100 Communications and Technology</t>
  </si>
  <si>
    <t>Total Communications and Technology</t>
  </si>
  <si>
    <t>5500 Insurance</t>
  </si>
  <si>
    <t>6500 Insurance (Other)</t>
  </si>
  <si>
    <t>6000 Accounting</t>
  </si>
  <si>
    <t>6600 Legal Expenses</t>
  </si>
  <si>
    <t>Total Accounting, Legal, Insurance</t>
  </si>
  <si>
    <t>7300 Travel</t>
  </si>
  <si>
    <t>6650 Immigration</t>
  </si>
  <si>
    <t>Total Travel</t>
  </si>
  <si>
    <t>6700 Miscellaneous</t>
  </si>
  <si>
    <t>6710 Miscellaneous: Accounting Adjustments</t>
  </si>
  <si>
    <t>6720 Miscellaneous Field Payments</t>
  </si>
  <si>
    <t>Bank Revaluations</t>
  </si>
  <si>
    <t>FX and other Adjustments</t>
  </si>
  <si>
    <t>Total Miscellaneous Expenses</t>
  </si>
  <si>
    <t>6400 Field Expenses</t>
  </si>
  <si>
    <t>6430 Field airtime (phone)</t>
  </si>
  <si>
    <t>6460 Field trainings</t>
  </si>
  <si>
    <t>Total Field Expenses</t>
  </si>
  <si>
    <t>For FY 2018, 2019, 2020</t>
  </si>
  <si>
    <t>Variance</t>
  </si>
  <si>
    <t>% of Change</t>
  </si>
  <si>
    <t>Period</t>
  </si>
  <si>
    <t>Group</t>
  </si>
  <si>
    <t>Account</t>
  </si>
  <si>
    <t>NI</t>
  </si>
  <si>
    <t>ABAE</t>
  </si>
  <si>
    <t>$ -</t>
  </si>
  <si>
    <t>$-</t>
  </si>
  <si>
    <t>Profit and Loss</t>
  </si>
  <si>
    <t>Income Statement</t>
  </si>
  <si>
    <t>All Babies Are Equal Initiative</t>
  </si>
  <si>
    <t>New Incentives</t>
  </si>
  <si>
    <t>New Incentives-All Babies Are Equal Initiative</t>
  </si>
  <si>
    <t>1 November 2017 to 31 December 2017</t>
  </si>
  <si>
    <t>WEIGHTED AVERAGE EXCHANGE RATE (NGN/USD)</t>
  </si>
  <si>
    <t>USD</t>
  </si>
  <si>
    <t>Xero</t>
  </si>
  <si>
    <t>Spotlight</t>
  </si>
  <si>
    <t>Difference</t>
  </si>
  <si>
    <t>Income</t>
  </si>
  <si>
    <t>Revenue</t>
  </si>
  <si>
    <t>4200 CCTmarketplace DBA New Incentives</t>
  </si>
  <si>
    <t>4000 Donations: Unrestricted -- Foundations and Organizations</t>
  </si>
  <si>
    <t>Total Income</t>
  </si>
  <si>
    <t>4010 Donations: Unrestricted -- Individuals</t>
  </si>
  <si>
    <t>Total Revenue</t>
  </si>
  <si>
    <t>Gross Profit</t>
  </si>
  <si>
    <t>Less Operating Expenses</t>
  </si>
  <si>
    <t>Operating Income / (Loss)</t>
  </si>
  <si>
    <t>Other Income and Expense</t>
  </si>
  <si>
    <t>4100 Interest or Bank Credits Earned</t>
  </si>
  <si>
    <t>Total Operating Expenses</t>
  </si>
  <si>
    <t>Net Profit</t>
  </si>
  <si>
    <t>9000 Program Services (ABAE)</t>
  </si>
  <si>
    <t>Total Other Income and Expense</t>
  </si>
  <si>
    <t>Net Income / (Loss) before Tax</t>
  </si>
  <si>
    <t>Total Operating Expense</t>
  </si>
  <si>
    <t>Spotlight Data Sheet Summary Total</t>
  </si>
  <si>
    <t>Difference (due to rounding off)</t>
  </si>
  <si>
    <t>Net Income</t>
  </si>
  <si>
    <t>Total Comprehensive Income</t>
  </si>
  <si>
    <t>1 January 2018 to 31 December 2018</t>
  </si>
  <si>
    <t>Foreign Currency Gains and Losses</t>
  </si>
  <si>
    <t>Net Income  / (Loss) before Tax</t>
  </si>
  <si>
    <t>1 January 2019 to 31 December 2019</t>
  </si>
  <si>
    <t>1 January 2020 to 29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</si>
</sst>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\ mmm\ yy"/>
  </numFmts>
  <fonts count="5" x14ac:knownFonts="1">
    <font>
      <sz val="10"/>
      <color rgb="FF000000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0" fontId="3" fillId="0" borderId="0" xfId="0" applyNumberFormat="1" applyFont="1"/>
    <xf numFmtId="10" fontId="2" fillId="0" borderId="0" xfId="0" applyNumberFormat="1" applyFont="1"/>
    <xf numFmtId="0" fontId="2" fillId="2" borderId="0" xfId="0" applyFont="1" applyFill="1" applyAlignment="1">
      <alignment horizontal="center"/>
    </xf>
    <xf numFmtId="164" fontId="3" fillId="0" borderId="0" xfId="0" applyNumberFormat="1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2" fillId="2" borderId="0" xfId="0" applyFont="1" applyFill="1"/>
    <xf numFmtId="0" fontId="3" fillId="2" borderId="0" xfId="0" applyFont="1" applyFill="1"/>
    <xf numFmtId="165" fontId="2" fillId="2" borderId="0" xfId="0" applyNumberFormat="1" applyFont="1" applyFill="1" applyAlignme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0" fontId="2" fillId="3" borderId="0" xfId="0" applyFont="1" applyFill="1" applyAlignment="1"/>
    <xf numFmtId="164" fontId="3" fillId="3" borderId="0" xfId="0" applyNumberFormat="1" applyFont="1" applyFill="1"/>
    <xf numFmtId="0" fontId="3" fillId="3" borderId="0" xfId="0" applyFont="1" applyFill="1"/>
    <xf numFmtId="164" fontId="2" fillId="3" borderId="0" xfId="0" applyNumberFormat="1" applyFont="1" applyFill="1"/>
    <xf numFmtId="164" fontId="2" fillId="0" borderId="0" xfId="0" applyNumberFormat="1" applyFont="1" applyAlignment="1"/>
    <xf numFmtId="165" fontId="3" fillId="0" borderId="0" xfId="0" applyNumberFormat="1" applyFont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/>
  </cellXfs>
  <cellStyles count="1">
    <cellStyle name="Normal" xfId="0" builtinId="0"/>
  </cellStyles>
  <dxfs count="4"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2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4.5" defaultRowHeight="15.75" customHeight="1" x14ac:dyDescent="0.15"/>
  <cols>
    <col min="1" max="1" width="57.33203125" customWidth="1"/>
  </cols>
  <sheetData>
    <row r="1" spans="1:4" x14ac:dyDescent="0.2">
      <c r="A1" s="1" t="s">
        <v>0</v>
      </c>
    </row>
    <row r="2" spans="1:4" x14ac:dyDescent="0.2">
      <c r="A2" s="1" t="s">
        <v>1</v>
      </c>
    </row>
    <row r="3" spans="1:4" x14ac:dyDescent="0.2">
      <c r="A3" s="1" t="s">
        <v>2</v>
      </c>
    </row>
    <row r="5" spans="1:4" ht="15.75" customHeight="1" x14ac:dyDescent="0.15">
      <c r="B5" s="2" t="s">
        <v>3</v>
      </c>
      <c r="C5" s="2" t="s">
        <v>4</v>
      </c>
      <c r="D5" s="2" t="s">
        <v>5</v>
      </c>
    </row>
    <row r="6" spans="1:4" ht="15.75" customHeight="1" x14ac:dyDescent="0.15">
      <c r="A6" s="3" t="s">
        <v>0</v>
      </c>
    </row>
    <row r="7" spans="1:4" ht="15.75" customHeight="1" x14ac:dyDescent="0.15">
      <c r="A7" s="4" t="s">
        <v>6</v>
      </c>
      <c r="B7" s="5">
        <f>SUMIF('Spotlight Data Sheet Summary'!$B:$B,$A7,'Spotlight Data Sheet Summary'!D:D)</f>
        <v>0</v>
      </c>
      <c r="C7" s="5">
        <f>SUMIF('Spotlight Data Sheet Summary'!$B:$B,$A7,'Spotlight Data Sheet Summary'!E:E)</f>
        <v>1648762</v>
      </c>
      <c r="D7" s="5">
        <f t="shared" ref="D7:D20" si="0">SUM(B7:C7)</f>
        <v>1648762</v>
      </c>
    </row>
    <row r="8" spans="1:4" ht="15.75" customHeight="1" x14ac:dyDescent="0.15">
      <c r="A8" s="4" t="s">
        <v>7</v>
      </c>
      <c r="B8" s="5">
        <f>SUMIF('Spotlight Data Sheet Summary'!$B:$B,$A8,'Spotlight Data Sheet Summary'!D:D)</f>
        <v>522</v>
      </c>
      <c r="C8" s="5">
        <f>SUMIF('Spotlight Data Sheet Summary'!$B:$B,$A8,'Spotlight Data Sheet Summary'!E:E)</f>
        <v>1037022</v>
      </c>
      <c r="D8" s="5">
        <f t="shared" si="0"/>
        <v>1037544</v>
      </c>
    </row>
    <row r="9" spans="1:4" ht="15.75" customHeight="1" x14ac:dyDescent="0.15">
      <c r="A9" s="4" t="s">
        <v>8</v>
      </c>
      <c r="B9" s="5">
        <f>SUMIF('Spotlight Data Sheet Summary'!$B:$B,$A9,'Spotlight Data Sheet Summary'!D:D)</f>
        <v>81</v>
      </c>
      <c r="C9" s="5">
        <f>SUMIF('Spotlight Data Sheet Summary'!$B:$B,$A9,'Spotlight Data Sheet Summary'!E:E)</f>
        <v>153766</v>
      </c>
      <c r="D9" s="5">
        <f t="shared" si="0"/>
        <v>153847</v>
      </c>
    </row>
    <row r="10" spans="1:4" ht="15.75" customHeight="1" x14ac:dyDescent="0.15">
      <c r="A10" s="4" t="s">
        <v>9</v>
      </c>
      <c r="B10" s="5">
        <f>SUMIF('Spotlight Data Sheet Summary'!$B:$B,$A10,'Spotlight Data Sheet Summary'!D:D)</f>
        <v>0</v>
      </c>
      <c r="C10" s="5">
        <f>SUMIF('Spotlight Data Sheet Summary'!$B:$B,$A10,'Spotlight Data Sheet Summary'!E:E)</f>
        <v>195290</v>
      </c>
      <c r="D10" s="5">
        <f t="shared" si="0"/>
        <v>195290</v>
      </c>
    </row>
    <row r="11" spans="1:4" ht="15.75" customHeight="1" x14ac:dyDescent="0.15">
      <c r="A11" s="4" t="s">
        <v>10</v>
      </c>
      <c r="B11" s="5">
        <f>SUMIF('Spotlight Data Sheet Summary'!$B:$B,$A11,'Spotlight Data Sheet Summary'!D:D)</f>
        <v>0</v>
      </c>
      <c r="C11" s="5">
        <f>SUMIF('Spotlight Data Sheet Summary'!$B:$B,$A11,'Spotlight Data Sheet Summary'!E:E)</f>
        <v>797239</v>
      </c>
      <c r="D11" s="5">
        <f t="shared" si="0"/>
        <v>797239</v>
      </c>
    </row>
    <row r="12" spans="1:4" ht="15.75" customHeight="1" x14ac:dyDescent="0.15">
      <c r="A12" s="4" t="s">
        <v>11</v>
      </c>
      <c r="B12" s="5">
        <f>SUMIF('Spotlight Data Sheet Summary'!$B:$B,$A12,'Spotlight Data Sheet Summary'!D:D)</f>
        <v>693417</v>
      </c>
      <c r="C12" s="5">
        <f>SUMIF('Spotlight Data Sheet Summary'!$B:$B,$A12,'Spotlight Data Sheet Summary'!E:E)</f>
        <v>0</v>
      </c>
      <c r="D12" s="5">
        <f t="shared" si="0"/>
        <v>693417</v>
      </c>
    </row>
    <row r="13" spans="1:4" ht="15.75" customHeight="1" x14ac:dyDescent="0.15">
      <c r="A13" s="4" t="s">
        <v>12</v>
      </c>
      <c r="B13" s="5">
        <f>SUMIF('Spotlight Data Sheet Summary'!$B:$B,$A13,'Spotlight Data Sheet Summary'!D:D)</f>
        <v>505604</v>
      </c>
      <c r="C13" s="5">
        <f>SUMIF('Spotlight Data Sheet Summary'!$B:$B,$A13,'Spotlight Data Sheet Summary'!E:E)</f>
        <v>1623</v>
      </c>
      <c r="D13" s="5">
        <f t="shared" si="0"/>
        <v>507227</v>
      </c>
    </row>
    <row r="14" spans="1:4" ht="15.75" customHeight="1" x14ac:dyDescent="0.15">
      <c r="A14" s="4" t="s">
        <v>13</v>
      </c>
      <c r="B14" s="5">
        <f>SUMIF('Spotlight Data Sheet Summary'!$B:$B,$A14,'Spotlight Data Sheet Summary'!D:D)</f>
        <v>24435</v>
      </c>
      <c r="C14" s="5">
        <f>SUMIF('Spotlight Data Sheet Summary'!$B:$B,$A14,'Spotlight Data Sheet Summary'!E:E)</f>
        <v>133670</v>
      </c>
      <c r="D14" s="5">
        <f t="shared" si="0"/>
        <v>158105</v>
      </c>
    </row>
    <row r="15" spans="1:4" ht="15.75" customHeight="1" x14ac:dyDescent="0.15">
      <c r="A15" s="4" t="s">
        <v>14</v>
      </c>
      <c r="B15" s="5">
        <f>SUMIF('Spotlight Data Sheet Summary'!$B:$B,$A15,'Spotlight Data Sheet Summary'!D:D)</f>
        <v>176727</v>
      </c>
      <c r="C15" s="5">
        <f>SUMIF('Spotlight Data Sheet Summary'!$B:$B,$A15,'Spotlight Data Sheet Summary'!E:E)</f>
        <v>127</v>
      </c>
      <c r="D15" s="5">
        <f t="shared" si="0"/>
        <v>176854</v>
      </c>
    </row>
    <row r="16" spans="1:4" ht="15.75" customHeight="1" x14ac:dyDescent="0.15">
      <c r="A16" s="4" t="s">
        <v>15</v>
      </c>
      <c r="B16" s="5">
        <f>SUMIF('Spotlight Data Sheet Summary'!$B:$B,$A16,'Spotlight Data Sheet Summary'!D:D)</f>
        <v>99529</v>
      </c>
      <c r="C16" s="5">
        <f>SUMIF('Spotlight Data Sheet Summary'!$B:$B,$A16,'Spotlight Data Sheet Summary'!E:E)</f>
        <v>38194</v>
      </c>
      <c r="D16" s="5">
        <f t="shared" si="0"/>
        <v>137723</v>
      </c>
    </row>
    <row r="17" spans="1:4" ht="15.75" customHeight="1" x14ac:dyDescent="0.15">
      <c r="A17" s="4" t="s">
        <v>16</v>
      </c>
      <c r="B17" s="5">
        <f>SUMIF('Spotlight Data Sheet Summary'!$B:$B,$A17,'Spotlight Data Sheet Summary'!D:D)</f>
        <v>34426</v>
      </c>
      <c r="C17" s="5">
        <f>SUMIF('Spotlight Data Sheet Summary'!$B:$B,$A17,'Spotlight Data Sheet Summary'!E:E)</f>
        <v>93267</v>
      </c>
      <c r="D17" s="5">
        <f t="shared" si="0"/>
        <v>127693</v>
      </c>
    </row>
    <row r="18" spans="1:4" ht="15.75" customHeight="1" x14ac:dyDescent="0.15">
      <c r="A18" s="4" t="s">
        <v>17</v>
      </c>
      <c r="B18" s="5">
        <f>SUMIF('Spotlight Data Sheet Summary'!$B:$B,$A18,'Spotlight Data Sheet Summary'!D:D)</f>
        <v>688</v>
      </c>
      <c r="C18" s="5">
        <f>SUMIF('Spotlight Data Sheet Summary'!$B:$B,$A18,'Spotlight Data Sheet Summary'!E:E)</f>
        <v>63487</v>
      </c>
      <c r="D18" s="5">
        <f t="shared" si="0"/>
        <v>64175</v>
      </c>
    </row>
    <row r="19" spans="1:4" ht="15.75" customHeight="1" x14ac:dyDescent="0.15">
      <c r="A19" s="4" t="s">
        <v>18</v>
      </c>
      <c r="B19" s="5">
        <f>SUMIF('Spotlight Data Sheet Summary'!$B:$B,$A19,'Spotlight Data Sheet Summary'!D:D)</f>
        <v>123</v>
      </c>
      <c r="C19" s="5">
        <f>SUMIF('Spotlight Data Sheet Summary'!$B:$B,$A19,'Spotlight Data Sheet Summary'!E:E)</f>
        <v>414</v>
      </c>
      <c r="D19" s="5">
        <f t="shared" si="0"/>
        <v>537</v>
      </c>
    </row>
    <row r="20" spans="1:4" ht="15.75" customHeight="1" x14ac:dyDescent="0.15">
      <c r="A20" s="4" t="s">
        <v>19</v>
      </c>
      <c r="B20" s="5">
        <f>SUMIF('Spotlight Data Sheet Summary'!$B:$B,$A20,'Spotlight Data Sheet Summary'!D:D)</f>
        <v>0</v>
      </c>
      <c r="C20" s="5">
        <f>SUMIF('Spotlight Data Sheet Summary'!$B:$B,$A20,'Spotlight Data Sheet Summary'!E:E)</f>
        <v>0</v>
      </c>
      <c r="D20" s="5">
        <f t="shared" si="0"/>
        <v>0</v>
      </c>
    </row>
    <row r="21" spans="1:4" ht="15.75" customHeight="1" x14ac:dyDescent="0.15">
      <c r="B21" s="5"/>
      <c r="C21" s="5"/>
      <c r="D21" s="5"/>
    </row>
    <row r="22" spans="1:4" ht="15.75" customHeight="1" x14ac:dyDescent="0.15">
      <c r="A22" s="3" t="s">
        <v>20</v>
      </c>
      <c r="B22" s="6">
        <f t="shared" ref="B22:D22" si="1">SUM(B7:B21)</f>
        <v>1535552</v>
      </c>
      <c r="C22" s="6">
        <f t="shared" si="1"/>
        <v>4162861</v>
      </c>
      <c r="D22" s="6">
        <f t="shared" si="1"/>
        <v>5698413</v>
      </c>
    </row>
    <row r="24" spans="1:4" ht="15.75" customHeight="1" x14ac:dyDescent="0.15">
      <c r="A24" s="3"/>
      <c r="B24" s="7" t="str">
        <f>IF(B22= SUM('Spotlight Data Sheet Summary'!D:D),"MATCH","ERROR")</f>
        <v>MATCH</v>
      </c>
      <c r="C24" s="7" t="str">
        <f>IF(C22= SUM('Spotlight Data Sheet Summary'!E:E),"MATCH","ERROR")</f>
        <v>MATCH</v>
      </c>
      <c r="D24" s="7" t="str">
        <f>IF(D22= SUM('Spotlight Data Sheet Summary'!D:E),"MATCH","ERROR")</f>
        <v>MATCH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4.5" defaultRowHeight="15.75" customHeight="1" x14ac:dyDescent="0.15"/>
  <cols>
    <col min="1" max="1" width="57.33203125" customWidth="1"/>
  </cols>
  <sheetData>
    <row r="1" spans="1:4" x14ac:dyDescent="0.2">
      <c r="A1" s="1" t="s">
        <v>0</v>
      </c>
      <c r="B1" s="5"/>
      <c r="C1" s="5"/>
      <c r="D1" s="5"/>
    </row>
    <row r="2" spans="1:4" x14ac:dyDescent="0.2">
      <c r="A2" s="1" t="s">
        <v>1</v>
      </c>
      <c r="B2" s="5"/>
      <c r="C2" s="5"/>
      <c r="D2" s="5"/>
    </row>
    <row r="3" spans="1:4" x14ac:dyDescent="0.2">
      <c r="A3" s="1" t="s">
        <v>2</v>
      </c>
      <c r="B3" s="5"/>
      <c r="C3" s="5"/>
      <c r="D3" s="5"/>
    </row>
    <row r="4" spans="1:4" ht="15.75" customHeight="1" x14ac:dyDescent="0.15">
      <c r="B4" s="5"/>
      <c r="C4" s="5"/>
      <c r="D4" s="5"/>
    </row>
    <row r="5" spans="1:4" ht="15.75" customHeight="1" x14ac:dyDescent="0.15">
      <c r="B5" s="8" t="s">
        <v>3</v>
      </c>
      <c r="C5" s="8" t="s">
        <v>4</v>
      </c>
      <c r="D5" s="8" t="s">
        <v>5</v>
      </c>
    </row>
    <row r="6" spans="1:4" ht="15.75" customHeight="1" x14ac:dyDescent="0.15">
      <c r="A6" s="3" t="s">
        <v>0</v>
      </c>
      <c r="B6" s="5"/>
      <c r="C6" s="5"/>
      <c r="D6" s="5"/>
    </row>
    <row r="7" spans="1:4" ht="15.75" customHeight="1" x14ac:dyDescent="0.15">
      <c r="A7" s="3" t="s">
        <v>6</v>
      </c>
      <c r="B7" s="5"/>
      <c r="C7" s="5"/>
      <c r="D7" s="5"/>
    </row>
    <row r="8" spans="1:4" ht="15.75" customHeight="1" x14ac:dyDescent="0.15">
      <c r="A8" s="4" t="s">
        <v>21</v>
      </c>
      <c r="B8" s="5">
        <f>SUMIF('Spotlight Data Sheet Summary'!$C:$C,$A8,'Spotlight Data Sheet Summary'!D:D)</f>
        <v>0</v>
      </c>
      <c r="C8" s="5">
        <f>SUMIF('Spotlight Data Sheet Summary'!$C:$C,$A8,'Spotlight Data Sheet Summary'!E:E)</f>
        <v>1648762</v>
      </c>
      <c r="D8" s="5">
        <f>SUM(B8:C8)</f>
        <v>1648762</v>
      </c>
    </row>
    <row r="9" spans="1:4" ht="15.75" customHeight="1" x14ac:dyDescent="0.15">
      <c r="A9" s="3"/>
      <c r="B9" s="5"/>
      <c r="C9" s="5"/>
      <c r="D9" s="5"/>
    </row>
    <row r="10" spans="1:4" ht="15.75" customHeight="1" x14ac:dyDescent="0.15">
      <c r="A10" s="3" t="s">
        <v>7</v>
      </c>
      <c r="B10" s="5"/>
      <c r="C10" s="5"/>
      <c r="D10" s="5"/>
    </row>
    <row r="11" spans="1:4" ht="15.75" customHeight="1" x14ac:dyDescent="0.15">
      <c r="A11" s="4" t="s">
        <v>22</v>
      </c>
      <c r="B11" s="5">
        <f>SUMIF('Spotlight Data Sheet Summary'!$C:$C,$A11,'Spotlight Data Sheet Summary'!D:D)</f>
        <v>0</v>
      </c>
      <c r="C11" s="5">
        <f>SUMIF('Spotlight Data Sheet Summary'!$C:$C,$A11,'Spotlight Data Sheet Summary'!E:E)</f>
        <v>329523</v>
      </c>
      <c r="D11" s="5">
        <f t="shared" ref="D11:D15" si="0">SUM(B11:C11)</f>
        <v>329523</v>
      </c>
    </row>
    <row r="12" spans="1:4" ht="15.75" customHeight="1" x14ac:dyDescent="0.15">
      <c r="A12" s="4" t="s">
        <v>23</v>
      </c>
      <c r="B12" s="5">
        <f>SUMIF('Spotlight Data Sheet Summary'!$C:$C,$A12,'Spotlight Data Sheet Summary'!D:D)</f>
        <v>324</v>
      </c>
      <c r="C12" s="5">
        <f>SUMIF('Spotlight Data Sheet Summary'!$C:$C,$A12,'Spotlight Data Sheet Summary'!E:E)</f>
        <v>0</v>
      </c>
      <c r="D12" s="5">
        <f t="shared" si="0"/>
        <v>324</v>
      </c>
    </row>
    <row r="13" spans="1:4" ht="15.75" customHeight="1" x14ac:dyDescent="0.15">
      <c r="A13" s="4" t="s">
        <v>24</v>
      </c>
      <c r="B13" s="5">
        <f>SUMIF('Spotlight Data Sheet Summary'!$C:$C,$A13,'Spotlight Data Sheet Summary'!D:D)</f>
        <v>0</v>
      </c>
      <c r="C13" s="5">
        <f>SUMIF('Spotlight Data Sheet Summary'!$C:$C,$A13,'Spotlight Data Sheet Summary'!E:E)</f>
        <v>467377</v>
      </c>
      <c r="D13" s="5">
        <f t="shared" si="0"/>
        <v>467377</v>
      </c>
    </row>
    <row r="14" spans="1:4" ht="15.75" customHeight="1" x14ac:dyDescent="0.15">
      <c r="A14" s="4" t="s">
        <v>25</v>
      </c>
      <c r="B14" s="5">
        <f>SUMIF('Spotlight Data Sheet Summary'!$C:$C,$A14,'Spotlight Data Sheet Summary'!D:D)</f>
        <v>0</v>
      </c>
      <c r="C14" s="5">
        <f>SUMIF('Spotlight Data Sheet Summary'!$C:$C,$A14,'Spotlight Data Sheet Summary'!E:E)</f>
        <v>202032</v>
      </c>
      <c r="D14" s="5">
        <f t="shared" si="0"/>
        <v>202032</v>
      </c>
    </row>
    <row r="15" spans="1:4" ht="15.75" customHeight="1" x14ac:dyDescent="0.15">
      <c r="A15" s="4" t="s">
        <v>26</v>
      </c>
      <c r="B15" s="5">
        <f>SUMIF('Spotlight Data Sheet Summary'!$C:$C,$A15,'Spotlight Data Sheet Summary'!D:D)</f>
        <v>198</v>
      </c>
      <c r="C15" s="5">
        <f>SUMIF('Spotlight Data Sheet Summary'!$C:$C,$A15,'Spotlight Data Sheet Summary'!E:E)</f>
        <v>38090</v>
      </c>
      <c r="D15" s="5">
        <f t="shared" si="0"/>
        <v>38288</v>
      </c>
    </row>
    <row r="16" spans="1:4" ht="15.75" customHeight="1" x14ac:dyDescent="0.15">
      <c r="A16" s="3" t="s">
        <v>27</v>
      </c>
      <c r="B16" s="6">
        <f t="shared" ref="B16:D16" si="1">SUM(B11:B15)</f>
        <v>522</v>
      </c>
      <c r="C16" s="6">
        <f t="shared" si="1"/>
        <v>1037022</v>
      </c>
      <c r="D16" s="6">
        <f t="shared" si="1"/>
        <v>1037544</v>
      </c>
    </row>
    <row r="17" spans="1:4" ht="15.75" customHeight="1" x14ac:dyDescent="0.15">
      <c r="A17" s="3"/>
      <c r="B17" s="5"/>
      <c r="C17" s="5"/>
      <c r="D17" s="5"/>
    </row>
    <row r="18" spans="1:4" ht="15.75" customHeight="1" x14ac:dyDescent="0.15">
      <c r="A18" s="3" t="s">
        <v>8</v>
      </c>
      <c r="B18" s="5"/>
      <c r="C18" s="5"/>
      <c r="D18" s="5"/>
    </row>
    <row r="19" spans="1:4" ht="15.75" customHeight="1" x14ac:dyDescent="0.15">
      <c r="A19" s="4" t="s">
        <v>28</v>
      </c>
      <c r="B19" s="5">
        <f>SUMIF('Spotlight Data Sheet Summary'!$C:$C,$A19,'Spotlight Data Sheet Summary'!D:D)</f>
        <v>32</v>
      </c>
      <c r="C19" s="5">
        <f>SUMIF('Spotlight Data Sheet Summary'!$C:$C,$A19,'Spotlight Data Sheet Summary'!E:E)</f>
        <v>21996</v>
      </c>
      <c r="D19" s="5">
        <f t="shared" ref="D19:D21" si="2">SUM(B19:C19)</f>
        <v>22028</v>
      </c>
    </row>
    <row r="20" spans="1:4" ht="15.75" customHeight="1" x14ac:dyDescent="0.15">
      <c r="A20" s="4" t="s">
        <v>29</v>
      </c>
      <c r="B20" s="5">
        <f>SUMIF('Spotlight Data Sheet Summary'!$C:$C,$A20,'Spotlight Data Sheet Summary'!D:D)</f>
        <v>0</v>
      </c>
      <c r="C20" s="5">
        <f>SUMIF('Spotlight Data Sheet Summary'!$C:$C,$A20,'Spotlight Data Sheet Summary'!E:E)</f>
        <v>54018</v>
      </c>
      <c r="D20" s="5">
        <f t="shared" si="2"/>
        <v>54018</v>
      </c>
    </row>
    <row r="21" spans="1:4" ht="15.75" customHeight="1" x14ac:dyDescent="0.15">
      <c r="A21" s="4" t="s">
        <v>30</v>
      </c>
      <c r="B21" s="5">
        <f>SUMIF('Spotlight Data Sheet Summary'!$C:$C,$A21,'Spotlight Data Sheet Summary'!D:D)</f>
        <v>49</v>
      </c>
      <c r="C21" s="5">
        <f>SUMIF('Spotlight Data Sheet Summary'!$C:$C,$A21,'Spotlight Data Sheet Summary'!E:E)</f>
        <v>77752</v>
      </c>
      <c r="D21" s="5">
        <f t="shared" si="2"/>
        <v>77801</v>
      </c>
    </row>
    <row r="22" spans="1:4" ht="15.75" customHeight="1" x14ac:dyDescent="0.15">
      <c r="A22" s="3" t="s">
        <v>31</v>
      </c>
      <c r="B22" s="6">
        <f t="shared" ref="B22:D22" si="3">SUM(B19:B21)</f>
        <v>81</v>
      </c>
      <c r="C22" s="6">
        <f t="shared" si="3"/>
        <v>153766</v>
      </c>
      <c r="D22" s="6">
        <f t="shared" si="3"/>
        <v>153847</v>
      </c>
    </row>
    <row r="23" spans="1:4" ht="15.75" customHeight="1" x14ac:dyDescent="0.15">
      <c r="A23" s="3"/>
      <c r="B23" s="5"/>
      <c r="C23" s="5"/>
      <c r="D23" s="5"/>
    </row>
    <row r="24" spans="1:4" ht="15.75" customHeight="1" x14ac:dyDescent="0.15">
      <c r="A24" s="3" t="s">
        <v>9</v>
      </c>
      <c r="B24" s="5"/>
      <c r="C24" s="5"/>
      <c r="D24" s="5"/>
    </row>
    <row r="25" spans="1:4" ht="15.75" customHeight="1" x14ac:dyDescent="0.15">
      <c r="A25" s="4" t="s">
        <v>32</v>
      </c>
      <c r="B25" s="5">
        <f>SUMIF('Spotlight Data Sheet Summary'!$C:$C,$A25,'Spotlight Data Sheet Summary'!D:D)</f>
        <v>0</v>
      </c>
      <c r="C25" s="5">
        <f>SUMIF('Spotlight Data Sheet Summary'!$C:$C,$A25,'Spotlight Data Sheet Summary'!E:E)</f>
        <v>195290</v>
      </c>
      <c r="D25" s="6">
        <f>SUM(B25:C25)</f>
        <v>195290</v>
      </c>
    </row>
    <row r="26" spans="1:4" ht="15.75" customHeight="1" x14ac:dyDescent="0.15">
      <c r="A26" s="3"/>
      <c r="B26" s="5"/>
      <c r="C26" s="5"/>
      <c r="D26" s="5"/>
    </row>
    <row r="27" spans="1:4" ht="15.75" customHeight="1" x14ac:dyDescent="0.15">
      <c r="A27" s="3" t="s">
        <v>10</v>
      </c>
      <c r="B27" s="5"/>
      <c r="C27" s="5"/>
      <c r="D27" s="5"/>
    </row>
    <row r="28" spans="1:4" ht="15.75" customHeight="1" x14ac:dyDescent="0.15">
      <c r="A28" s="4" t="s">
        <v>33</v>
      </c>
      <c r="B28" s="5">
        <f>SUMIF('Spotlight Data Sheet Summary'!$C:$C,$A28,'Spotlight Data Sheet Summary'!D:D)</f>
        <v>0</v>
      </c>
      <c r="C28" s="5">
        <f>SUMIF('Spotlight Data Sheet Summary'!$C:$C,$A28,'Spotlight Data Sheet Summary'!E:E)</f>
        <v>633764</v>
      </c>
      <c r="D28" s="5">
        <f t="shared" ref="D28:D30" si="4">SUM(B28:C28)</f>
        <v>633764</v>
      </c>
    </row>
    <row r="29" spans="1:4" ht="15.75" customHeight="1" x14ac:dyDescent="0.15">
      <c r="A29" s="4" t="s">
        <v>34</v>
      </c>
      <c r="B29" s="5">
        <f>SUMIF('Spotlight Data Sheet Summary'!$C:$C,$A29,'Spotlight Data Sheet Summary'!D:D)</f>
        <v>0</v>
      </c>
      <c r="C29" s="5">
        <f>SUMIF('Spotlight Data Sheet Summary'!$C:$C,$A29,'Spotlight Data Sheet Summary'!E:E)</f>
        <v>58077</v>
      </c>
      <c r="D29" s="5">
        <f t="shared" si="4"/>
        <v>58077</v>
      </c>
    </row>
    <row r="30" spans="1:4" ht="15.75" customHeight="1" x14ac:dyDescent="0.15">
      <c r="A30" s="4" t="s">
        <v>35</v>
      </c>
      <c r="B30" s="5">
        <f>SUMIF('Spotlight Data Sheet Summary'!$C:$C,$A30,'Spotlight Data Sheet Summary'!D:D)</f>
        <v>0</v>
      </c>
      <c r="C30" s="5">
        <f>SUMIF('Spotlight Data Sheet Summary'!$C:$C,$A30,'Spotlight Data Sheet Summary'!E:E)</f>
        <v>105398</v>
      </c>
      <c r="D30" s="5">
        <f t="shared" si="4"/>
        <v>105398</v>
      </c>
    </row>
    <row r="31" spans="1:4" ht="15.75" customHeight="1" x14ac:dyDescent="0.15">
      <c r="A31" s="3" t="s">
        <v>36</v>
      </c>
      <c r="B31" s="6">
        <f t="shared" ref="B31:D31" si="5">SUM(B28:B30)</f>
        <v>0</v>
      </c>
      <c r="C31" s="6">
        <f t="shared" si="5"/>
        <v>797239</v>
      </c>
      <c r="D31" s="6">
        <f t="shared" si="5"/>
        <v>797239</v>
      </c>
    </row>
    <row r="32" spans="1:4" ht="15.75" customHeight="1" x14ac:dyDescent="0.15">
      <c r="A32" s="3"/>
      <c r="B32" s="5"/>
      <c r="C32" s="5"/>
      <c r="D32" s="5"/>
    </row>
    <row r="33" spans="1:4" ht="15.75" customHeight="1" x14ac:dyDescent="0.15">
      <c r="A33" s="3" t="s">
        <v>11</v>
      </c>
      <c r="B33" s="5"/>
      <c r="C33" s="5"/>
      <c r="D33" s="5"/>
    </row>
    <row r="34" spans="1:4" ht="15.75" customHeight="1" x14ac:dyDescent="0.15">
      <c r="A34" s="4" t="s">
        <v>37</v>
      </c>
      <c r="B34" s="5">
        <f>SUMIF('Spotlight Data Sheet Summary'!$C:$C,$A34,'Spotlight Data Sheet Summary'!D:D)</f>
        <v>643036</v>
      </c>
      <c r="C34" s="5">
        <f>SUMIF('Spotlight Data Sheet Summary'!$C:$C,$A34,'Spotlight Data Sheet Summary'!E:E)</f>
        <v>0</v>
      </c>
      <c r="D34" s="5">
        <f t="shared" ref="D34:D37" si="6">SUM(B34:C34)</f>
        <v>643036</v>
      </c>
    </row>
    <row r="35" spans="1:4" ht="15.75" customHeight="1" x14ac:dyDescent="0.15">
      <c r="A35" s="4" t="s">
        <v>38</v>
      </c>
      <c r="B35" s="5">
        <f>SUMIF('Spotlight Data Sheet Summary'!$C:$C,$A35,'Spotlight Data Sheet Summary'!D:D)</f>
        <v>37297</v>
      </c>
      <c r="C35" s="5">
        <f>SUMIF('Spotlight Data Sheet Summary'!$C:$C,$A35,'Spotlight Data Sheet Summary'!E:E)</f>
        <v>0</v>
      </c>
      <c r="D35" s="5">
        <f t="shared" si="6"/>
        <v>37297</v>
      </c>
    </row>
    <row r="36" spans="1:4" ht="15.75" customHeight="1" x14ac:dyDescent="0.15">
      <c r="A36" s="4" t="s">
        <v>39</v>
      </c>
      <c r="B36" s="5">
        <f>SUMIF('Spotlight Data Sheet Summary'!$C:$C,$A36,'Spotlight Data Sheet Summary'!D:D)</f>
        <v>2284</v>
      </c>
      <c r="C36" s="5">
        <f>SUMIF('Spotlight Data Sheet Summary'!$C:$C,$A36,'Spotlight Data Sheet Summary'!E:E)</f>
        <v>0</v>
      </c>
      <c r="D36" s="5">
        <f t="shared" si="6"/>
        <v>2284</v>
      </c>
    </row>
    <row r="37" spans="1:4" ht="15.75" customHeight="1" x14ac:dyDescent="0.15">
      <c r="A37" s="4" t="s">
        <v>40</v>
      </c>
      <c r="B37" s="5">
        <f>SUMIF('Spotlight Data Sheet Summary'!$C:$C,$A37,'Spotlight Data Sheet Summary'!D:D)</f>
        <v>10800</v>
      </c>
      <c r="C37" s="5">
        <f>SUMIF('Spotlight Data Sheet Summary'!$C:$C,$A37,'Spotlight Data Sheet Summary'!E:E)</f>
        <v>0</v>
      </c>
      <c r="D37" s="5">
        <f t="shared" si="6"/>
        <v>10800</v>
      </c>
    </row>
    <row r="38" spans="1:4" ht="15.75" customHeight="1" x14ac:dyDescent="0.15">
      <c r="A38" s="3" t="s">
        <v>41</v>
      </c>
      <c r="B38" s="6">
        <f t="shared" ref="B38:D38" si="7">SUM(B34:B37)</f>
        <v>693417</v>
      </c>
      <c r="C38" s="6">
        <f t="shared" si="7"/>
        <v>0</v>
      </c>
      <c r="D38" s="6">
        <f t="shared" si="7"/>
        <v>693417</v>
      </c>
    </row>
    <row r="39" spans="1:4" ht="15.75" customHeight="1" x14ac:dyDescent="0.15">
      <c r="A39" s="3"/>
      <c r="B39" s="5"/>
      <c r="C39" s="5"/>
      <c r="D39" s="5"/>
    </row>
    <row r="40" spans="1:4" ht="15.75" customHeight="1" x14ac:dyDescent="0.15">
      <c r="A40" s="3" t="s">
        <v>12</v>
      </c>
      <c r="B40" s="5"/>
      <c r="C40" s="5"/>
      <c r="D40" s="5"/>
    </row>
    <row r="41" spans="1:4" ht="15.75" customHeight="1" x14ac:dyDescent="0.15">
      <c r="A41" s="4" t="s">
        <v>42</v>
      </c>
      <c r="B41" s="5">
        <f>SUMIF('Spotlight Data Sheet Summary'!$C:$C,$A41,'Spotlight Data Sheet Summary'!D:D)</f>
        <v>352040</v>
      </c>
      <c r="C41" s="5">
        <f>SUMIF('Spotlight Data Sheet Summary'!$C:$C,$A41,'Spotlight Data Sheet Summary'!E:E)</f>
        <v>0</v>
      </c>
      <c r="D41" s="5">
        <f t="shared" ref="D41:D43" si="8">SUM(B41:C41)</f>
        <v>352040</v>
      </c>
    </row>
    <row r="42" spans="1:4" ht="15.75" customHeight="1" x14ac:dyDescent="0.15">
      <c r="A42" s="4" t="s">
        <v>43</v>
      </c>
      <c r="B42" s="5">
        <f>SUMIF('Spotlight Data Sheet Summary'!$C:$C,$A42,'Spotlight Data Sheet Summary'!D:D)</f>
        <v>123967</v>
      </c>
      <c r="C42" s="5">
        <f>SUMIF('Spotlight Data Sheet Summary'!$C:$C,$A42,'Spotlight Data Sheet Summary'!E:E)</f>
        <v>1623</v>
      </c>
      <c r="D42" s="5">
        <f t="shared" si="8"/>
        <v>125590</v>
      </c>
    </row>
    <row r="43" spans="1:4" ht="15.75" customHeight="1" x14ac:dyDescent="0.15">
      <c r="A43" s="4" t="s">
        <v>44</v>
      </c>
      <c r="B43" s="5">
        <f>SUMIF('Spotlight Data Sheet Summary'!$C:$C,$A43,'Spotlight Data Sheet Summary'!D:D)</f>
        <v>29597</v>
      </c>
      <c r="C43" s="5">
        <f>SUMIF('Spotlight Data Sheet Summary'!$C:$C,$A43,'Spotlight Data Sheet Summary'!E:E)</f>
        <v>0</v>
      </c>
      <c r="D43" s="5">
        <f t="shared" si="8"/>
        <v>29597</v>
      </c>
    </row>
    <row r="44" spans="1:4" ht="15.75" customHeight="1" x14ac:dyDescent="0.15">
      <c r="A44" s="3" t="s">
        <v>45</v>
      </c>
      <c r="B44" s="6">
        <f t="shared" ref="B44:D44" si="9">SUM(B41:B43)</f>
        <v>505604</v>
      </c>
      <c r="C44" s="6">
        <f t="shared" si="9"/>
        <v>1623</v>
      </c>
      <c r="D44" s="6">
        <f t="shared" si="9"/>
        <v>507227</v>
      </c>
    </row>
    <row r="45" spans="1:4" ht="15.75" customHeight="1" x14ac:dyDescent="0.15">
      <c r="A45" s="3"/>
      <c r="B45" s="5"/>
      <c r="C45" s="5"/>
      <c r="D45" s="5"/>
    </row>
    <row r="46" spans="1:4" ht="15.75" customHeight="1" x14ac:dyDescent="0.15">
      <c r="A46" s="3" t="s">
        <v>13</v>
      </c>
      <c r="B46" s="5"/>
      <c r="C46" s="5"/>
      <c r="D46" s="5"/>
    </row>
    <row r="47" spans="1:4" ht="15.75" customHeight="1" x14ac:dyDescent="0.15">
      <c r="A47" s="4" t="s">
        <v>46</v>
      </c>
      <c r="B47" s="5">
        <f>SUMIF('Spotlight Data Sheet Summary'!$C:$C,$A47,'Spotlight Data Sheet Summary'!D:D)</f>
        <v>10914</v>
      </c>
      <c r="C47" s="5">
        <f>SUMIF('Spotlight Data Sheet Summary'!$C:$C,$A47,'Spotlight Data Sheet Summary'!E:E)</f>
        <v>107146</v>
      </c>
      <c r="D47" s="5">
        <f t="shared" ref="D47:D49" si="10">SUM(B47:C47)</f>
        <v>118060</v>
      </c>
    </row>
    <row r="48" spans="1:4" ht="15.75" customHeight="1" x14ac:dyDescent="0.15">
      <c r="A48" s="4" t="s">
        <v>47</v>
      </c>
      <c r="B48" s="5">
        <f>SUMIF('Spotlight Data Sheet Summary'!$C:$C,$A48,'Spotlight Data Sheet Summary'!D:D)</f>
        <v>6040</v>
      </c>
      <c r="C48" s="5">
        <f>SUMIF('Spotlight Data Sheet Summary'!$C:$C,$A48,'Spotlight Data Sheet Summary'!E:E)</f>
        <v>8347</v>
      </c>
      <c r="D48" s="5">
        <f t="shared" si="10"/>
        <v>14387</v>
      </c>
    </row>
    <row r="49" spans="1:4" ht="15.75" customHeight="1" x14ac:dyDescent="0.15">
      <c r="A49" s="4" t="s">
        <v>48</v>
      </c>
      <c r="B49" s="5">
        <f>SUMIF('Spotlight Data Sheet Summary'!$C:$C,$A49,'Spotlight Data Sheet Summary'!D:D)</f>
        <v>7481</v>
      </c>
      <c r="C49" s="5">
        <f>SUMIF('Spotlight Data Sheet Summary'!$C:$C,$A49,'Spotlight Data Sheet Summary'!E:E)</f>
        <v>18177</v>
      </c>
      <c r="D49" s="5">
        <f t="shared" si="10"/>
        <v>25658</v>
      </c>
    </row>
    <row r="50" spans="1:4" ht="15.75" customHeight="1" x14ac:dyDescent="0.15">
      <c r="A50" s="3" t="s">
        <v>49</v>
      </c>
      <c r="B50" s="6">
        <f t="shared" ref="B50:D50" si="11">SUM(B47:B49)</f>
        <v>24435</v>
      </c>
      <c r="C50" s="6">
        <f t="shared" si="11"/>
        <v>133670</v>
      </c>
      <c r="D50" s="6">
        <f t="shared" si="11"/>
        <v>158105</v>
      </c>
    </row>
    <row r="51" spans="1:4" ht="15.75" customHeight="1" x14ac:dyDescent="0.15">
      <c r="A51" s="3"/>
      <c r="B51" s="5"/>
      <c r="C51" s="5"/>
      <c r="D51" s="5"/>
    </row>
    <row r="52" spans="1:4" ht="15.75" customHeight="1" x14ac:dyDescent="0.15">
      <c r="A52" s="3" t="s">
        <v>14</v>
      </c>
      <c r="B52" s="5"/>
      <c r="C52" s="5"/>
      <c r="D52" s="5"/>
    </row>
    <row r="53" spans="1:4" ht="15.75" customHeight="1" x14ac:dyDescent="0.15">
      <c r="A53" s="4" t="s">
        <v>50</v>
      </c>
      <c r="B53" s="5">
        <f>SUMIF('Spotlight Data Sheet Summary'!$C:$C,$A53,'Spotlight Data Sheet Summary'!D:D)</f>
        <v>234</v>
      </c>
      <c r="C53" s="5">
        <f>SUMIF('Spotlight Data Sheet Summary'!$C:$C,$A53,'Spotlight Data Sheet Summary'!E:E)</f>
        <v>0</v>
      </c>
      <c r="D53" s="5">
        <f t="shared" ref="D53:D54" si="12">SUM(B53:C53)</f>
        <v>234</v>
      </c>
    </row>
    <row r="54" spans="1:4" ht="15.75" customHeight="1" x14ac:dyDescent="0.15">
      <c r="A54" s="4" t="s">
        <v>51</v>
      </c>
      <c r="B54" s="5">
        <f>SUMIF('Spotlight Data Sheet Summary'!$C:$C,$A54,'Spotlight Data Sheet Summary'!D:D)</f>
        <v>176493</v>
      </c>
      <c r="C54" s="5">
        <f>SUMIF('Spotlight Data Sheet Summary'!$C:$C,$A54,'Spotlight Data Sheet Summary'!E:E)</f>
        <v>127</v>
      </c>
      <c r="D54" s="5">
        <f t="shared" si="12"/>
        <v>176620</v>
      </c>
    </row>
    <row r="55" spans="1:4" ht="15.75" customHeight="1" x14ac:dyDescent="0.15">
      <c r="A55" s="3" t="s">
        <v>52</v>
      </c>
      <c r="B55" s="6">
        <f t="shared" ref="B55:D55" si="13">SUM(B53:B54)</f>
        <v>176727</v>
      </c>
      <c r="C55" s="6">
        <f t="shared" si="13"/>
        <v>127</v>
      </c>
      <c r="D55" s="6">
        <f t="shared" si="13"/>
        <v>176854</v>
      </c>
    </row>
    <row r="56" spans="1:4" ht="15.75" customHeight="1" x14ac:dyDescent="0.15">
      <c r="A56" s="3"/>
      <c r="B56" s="5"/>
      <c r="C56" s="5"/>
      <c r="D56" s="5"/>
    </row>
    <row r="57" spans="1:4" ht="15.75" customHeight="1" x14ac:dyDescent="0.15">
      <c r="A57" s="3" t="s">
        <v>15</v>
      </c>
      <c r="B57" s="5"/>
      <c r="C57" s="5"/>
      <c r="D57" s="5"/>
    </row>
    <row r="58" spans="1:4" ht="15.75" customHeight="1" x14ac:dyDescent="0.15">
      <c r="A58" s="4" t="s">
        <v>53</v>
      </c>
      <c r="B58" s="5">
        <f>SUMIF('Spotlight Data Sheet Summary'!$C:$C,$A58,'Spotlight Data Sheet Summary'!D:D)</f>
        <v>17069</v>
      </c>
      <c r="C58" s="5">
        <f>SUMIF('Spotlight Data Sheet Summary'!$C:$C,$A58,'Spotlight Data Sheet Summary'!E:E)</f>
        <v>16194</v>
      </c>
      <c r="D58" s="5">
        <f t="shared" ref="D58:D61" si="14">SUM(B58:C58)</f>
        <v>33263</v>
      </c>
    </row>
    <row r="59" spans="1:4" ht="15.75" customHeight="1" x14ac:dyDescent="0.15">
      <c r="A59" s="4" t="s">
        <v>54</v>
      </c>
      <c r="B59" s="5">
        <f>SUMIF('Spotlight Data Sheet Summary'!$C:$C,$A59,'Spotlight Data Sheet Summary'!D:D)</f>
        <v>0</v>
      </c>
      <c r="C59" s="5">
        <f>SUMIF('Spotlight Data Sheet Summary'!$C:$C,$A59,'Spotlight Data Sheet Summary'!E:E)</f>
        <v>1761</v>
      </c>
      <c r="D59" s="5">
        <f t="shared" si="14"/>
        <v>1761</v>
      </c>
    </row>
    <row r="60" spans="1:4" ht="15.75" customHeight="1" x14ac:dyDescent="0.15">
      <c r="A60" s="4" t="s">
        <v>55</v>
      </c>
      <c r="B60" s="5">
        <f>SUMIF('Spotlight Data Sheet Summary'!$C:$C,$A60,'Spotlight Data Sheet Summary'!D:D)</f>
        <v>61655</v>
      </c>
      <c r="C60" s="5">
        <f>SUMIF('Spotlight Data Sheet Summary'!$C:$C,$A60,'Spotlight Data Sheet Summary'!E:E)</f>
        <v>5413</v>
      </c>
      <c r="D60" s="5">
        <f t="shared" si="14"/>
        <v>67068</v>
      </c>
    </row>
    <row r="61" spans="1:4" ht="13" x14ac:dyDescent="0.15">
      <c r="A61" s="4" t="s">
        <v>56</v>
      </c>
      <c r="B61" s="5">
        <f>SUMIF('Spotlight Data Sheet Summary'!$C:$C,$A61,'Spotlight Data Sheet Summary'!D:D)</f>
        <v>20805</v>
      </c>
      <c r="C61" s="5">
        <f>SUMIF('Spotlight Data Sheet Summary'!$C:$C,$A61,'Spotlight Data Sheet Summary'!E:E)</f>
        <v>14826</v>
      </c>
      <c r="D61" s="5">
        <f t="shared" si="14"/>
        <v>35631</v>
      </c>
    </row>
    <row r="62" spans="1:4" ht="13" x14ac:dyDescent="0.15">
      <c r="A62" s="3" t="s">
        <v>57</v>
      </c>
      <c r="B62" s="6">
        <f t="shared" ref="B62:D62" si="15">SUM(B58:B61)</f>
        <v>99529</v>
      </c>
      <c r="C62" s="6">
        <f t="shared" si="15"/>
        <v>38194</v>
      </c>
      <c r="D62" s="6">
        <f t="shared" si="15"/>
        <v>137723</v>
      </c>
    </row>
    <row r="63" spans="1:4" ht="13" x14ac:dyDescent="0.15">
      <c r="A63" s="3"/>
      <c r="B63" s="5"/>
      <c r="C63" s="5"/>
      <c r="D63" s="5"/>
    </row>
    <row r="64" spans="1:4" ht="13" x14ac:dyDescent="0.15">
      <c r="A64" s="3" t="s">
        <v>16</v>
      </c>
      <c r="B64" s="5"/>
      <c r="C64" s="5"/>
      <c r="D64" s="5"/>
    </row>
    <row r="65" spans="1:4" ht="13" x14ac:dyDescent="0.15">
      <c r="A65" s="4" t="s">
        <v>58</v>
      </c>
      <c r="B65" s="5">
        <f>SUMIF('Spotlight Data Sheet Summary'!$C:$C,$A65,'Spotlight Data Sheet Summary'!D:D)</f>
        <v>34293</v>
      </c>
      <c r="C65" s="5">
        <f>SUMIF('Spotlight Data Sheet Summary'!$C:$C,$A65,'Spotlight Data Sheet Summary'!E:E)</f>
        <v>93267</v>
      </c>
      <c r="D65" s="5">
        <f t="shared" ref="D65:D66" si="16">SUM(B65:C65)</f>
        <v>127560</v>
      </c>
    </row>
    <row r="66" spans="1:4" ht="13" x14ac:dyDescent="0.15">
      <c r="A66" s="4" t="s">
        <v>59</v>
      </c>
      <c r="B66" s="5">
        <f>SUMIF('Spotlight Data Sheet Summary'!$C:$C,$A66,'Spotlight Data Sheet Summary'!D:D)</f>
        <v>133</v>
      </c>
      <c r="C66" s="5">
        <f>SUMIF('Spotlight Data Sheet Summary'!$C:$C,$A66,'Spotlight Data Sheet Summary'!E:E)</f>
        <v>0</v>
      </c>
      <c r="D66" s="5">
        <f t="shared" si="16"/>
        <v>133</v>
      </c>
    </row>
    <row r="67" spans="1:4" ht="13" x14ac:dyDescent="0.15">
      <c r="A67" s="3" t="s">
        <v>60</v>
      </c>
      <c r="B67" s="6">
        <f t="shared" ref="B67:D67" si="17">SUM(B65:B66)</f>
        <v>34426</v>
      </c>
      <c r="C67" s="6">
        <f t="shared" si="17"/>
        <v>93267</v>
      </c>
      <c r="D67" s="6">
        <f t="shared" si="17"/>
        <v>127693</v>
      </c>
    </row>
    <row r="68" spans="1:4" ht="13" x14ac:dyDescent="0.15">
      <c r="A68" s="3"/>
      <c r="B68" s="5"/>
      <c r="C68" s="5"/>
      <c r="D68" s="5"/>
    </row>
    <row r="69" spans="1:4" ht="13" x14ac:dyDescent="0.15">
      <c r="A69" s="3" t="s">
        <v>17</v>
      </c>
      <c r="B69" s="5"/>
      <c r="C69" s="5"/>
      <c r="D69" s="5"/>
    </row>
    <row r="70" spans="1:4" ht="13" x14ac:dyDescent="0.15">
      <c r="A70" s="4" t="s">
        <v>61</v>
      </c>
      <c r="B70" s="5">
        <f>SUMIF('Spotlight Data Sheet Summary'!$C:$C,$A70,'Spotlight Data Sheet Summary'!D:D)</f>
        <v>688</v>
      </c>
      <c r="C70" s="5">
        <f>SUMIF('Spotlight Data Sheet Summary'!$C:$C,$A70,'Spotlight Data Sheet Summary'!E:E)</f>
        <v>60165</v>
      </c>
      <c r="D70" s="5">
        <f t="shared" ref="D70:D74" si="18">SUM(B70:C70)</f>
        <v>60853</v>
      </c>
    </row>
    <row r="71" spans="1:4" ht="13" x14ac:dyDescent="0.15">
      <c r="A71" s="4" t="s">
        <v>62</v>
      </c>
      <c r="B71" s="5">
        <f>SUMIF('Spotlight Data Sheet Summary'!$C:$C,$A71,'Spotlight Data Sheet Summary'!D:D)</f>
        <v>0</v>
      </c>
      <c r="C71" s="5">
        <f>SUMIF('Spotlight Data Sheet Summary'!$C:$C,$A71,'Spotlight Data Sheet Summary'!E:E)</f>
        <v>2964</v>
      </c>
      <c r="D71" s="5">
        <f t="shared" si="18"/>
        <v>2964</v>
      </c>
    </row>
    <row r="72" spans="1:4" ht="13" x14ac:dyDescent="0.15">
      <c r="A72" s="4" t="s">
        <v>63</v>
      </c>
      <c r="B72" s="5">
        <f>SUMIF('Spotlight Data Sheet Summary'!$C:$C,$A72,'Spotlight Data Sheet Summary'!D:D)</f>
        <v>0</v>
      </c>
      <c r="C72" s="5">
        <f>SUMIF('Spotlight Data Sheet Summary'!$C:$C,$A72,'Spotlight Data Sheet Summary'!E:E)</f>
        <v>354</v>
      </c>
      <c r="D72" s="5">
        <f t="shared" si="18"/>
        <v>354</v>
      </c>
    </row>
    <row r="73" spans="1:4" ht="13" x14ac:dyDescent="0.15">
      <c r="A73" s="4" t="s">
        <v>64</v>
      </c>
      <c r="B73" s="5">
        <f>SUMIF('Spotlight Data Sheet Summary'!$C:$C,$A73,'Spotlight Data Sheet Summary'!D:D)</f>
        <v>0</v>
      </c>
      <c r="C73" s="5">
        <f>SUMIF('Spotlight Data Sheet Summary'!$C:$C,$A73,'Spotlight Data Sheet Summary'!E:E)</f>
        <v>4</v>
      </c>
      <c r="D73" s="5">
        <f t="shared" si="18"/>
        <v>4</v>
      </c>
    </row>
    <row r="74" spans="1:4" ht="13" x14ac:dyDescent="0.15">
      <c r="A74" s="4" t="s">
        <v>65</v>
      </c>
      <c r="B74" s="5">
        <f>SUMIF('Spotlight Data Sheet Summary'!$C:$C,$A74,'Spotlight Data Sheet Summary'!D:D)</f>
        <v>0</v>
      </c>
      <c r="C74" s="5">
        <f>SUMIF('Spotlight Data Sheet Summary'!$C:$C,$A74,'Spotlight Data Sheet Summary'!E:E)</f>
        <v>0</v>
      </c>
      <c r="D74" s="5">
        <f t="shared" si="18"/>
        <v>0</v>
      </c>
    </row>
    <row r="75" spans="1:4" ht="13" x14ac:dyDescent="0.15">
      <c r="A75" s="3" t="s">
        <v>66</v>
      </c>
      <c r="B75" s="6">
        <f t="shared" ref="B75:D75" si="19">SUM(B70:B74)</f>
        <v>688</v>
      </c>
      <c r="C75" s="6">
        <f t="shared" si="19"/>
        <v>63487</v>
      </c>
      <c r="D75" s="6">
        <f t="shared" si="19"/>
        <v>64175</v>
      </c>
    </row>
    <row r="76" spans="1:4" ht="13" x14ac:dyDescent="0.15">
      <c r="A76" s="3"/>
      <c r="B76" s="5"/>
      <c r="C76" s="5"/>
      <c r="D76" s="5"/>
    </row>
    <row r="77" spans="1:4" ht="13" x14ac:dyDescent="0.15">
      <c r="A77" s="3" t="s">
        <v>18</v>
      </c>
      <c r="B77" s="5"/>
      <c r="C77" s="5"/>
      <c r="D77" s="5"/>
    </row>
    <row r="78" spans="1:4" ht="13" x14ac:dyDescent="0.15">
      <c r="A78" s="4" t="s">
        <v>67</v>
      </c>
      <c r="B78" s="5">
        <f>SUMIF('Spotlight Data Sheet Summary'!$C:$C,$A78,'Spotlight Data Sheet Summary'!D:D)</f>
        <v>123</v>
      </c>
      <c r="C78" s="5">
        <f>SUMIF('Spotlight Data Sheet Summary'!$C:$C,$A78,'Spotlight Data Sheet Summary'!E:E)</f>
        <v>0</v>
      </c>
      <c r="D78" s="5">
        <f t="shared" ref="D78:D80" si="20">SUM(B78:C78)</f>
        <v>123</v>
      </c>
    </row>
    <row r="79" spans="1:4" ht="13" x14ac:dyDescent="0.15">
      <c r="A79" s="4" t="s">
        <v>68</v>
      </c>
      <c r="B79" s="5">
        <f>SUMIF('Spotlight Data Sheet Summary'!$C:$C,$A79,'Spotlight Data Sheet Summary'!D:D)</f>
        <v>0</v>
      </c>
      <c r="C79" s="5">
        <f>SUMIF('Spotlight Data Sheet Summary'!$C:$C,$A79,'Spotlight Data Sheet Summary'!E:E)</f>
        <v>18</v>
      </c>
      <c r="D79" s="5">
        <f t="shared" si="20"/>
        <v>18</v>
      </c>
    </row>
    <row r="80" spans="1:4" ht="13" x14ac:dyDescent="0.15">
      <c r="A80" s="4" t="s">
        <v>69</v>
      </c>
      <c r="B80" s="5">
        <f>SUMIF('Spotlight Data Sheet Summary'!$C:$C,$A80,'Spotlight Data Sheet Summary'!D:D)</f>
        <v>0</v>
      </c>
      <c r="C80" s="5">
        <f>SUMIF('Spotlight Data Sheet Summary'!$C:$C,$A80,'Spotlight Data Sheet Summary'!E:E)</f>
        <v>396</v>
      </c>
      <c r="D80" s="5">
        <f t="shared" si="20"/>
        <v>396</v>
      </c>
    </row>
    <row r="81" spans="1:4" ht="13" x14ac:dyDescent="0.15">
      <c r="A81" s="3" t="s">
        <v>70</v>
      </c>
      <c r="B81" s="6">
        <f t="shared" ref="B81:D81" si="21">SUM(B78:B80)</f>
        <v>123</v>
      </c>
      <c r="C81" s="6">
        <f t="shared" si="21"/>
        <v>414</v>
      </c>
      <c r="D81" s="6">
        <f t="shared" si="21"/>
        <v>537</v>
      </c>
    </row>
    <row r="82" spans="1:4" ht="13" x14ac:dyDescent="0.15">
      <c r="A82" s="3"/>
      <c r="B82" s="5"/>
      <c r="C82" s="5"/>
      <c r="D82" s="5"/>
    </row>
    <row r="83" spans="1:4" ht="13" x14ac:dyDescent="0.15">
      <c r="A83" s="3" t="s">
        <v>20</v>
      </c>
      <c r="B83" s="6">
        <f t="shared" ref="B83:D83" si="22">SUM(B81,B75,B67,B62,B55,B50,B44,B38,B31,B25,B22,B16,B8)</f>
        <v>1535552</v>
      </c>
      <c r="C83" s="6">
        <f t="shared" si="22"/>
        <v>4162861</v>
      </c>
      <c r="D83" s="6">
        <f t="shared" si="22"/>
        <v>5698413</v>
      </c>
    </row>
    <row r="84" spans="1:4" ht="13" x14ac:dyDescent="0.15">
      <c r="B84" s="5"/>
      <c r="C84" s="5"/>
      <c r="D84" s="5"/>
    </row>
    <row r="85" spans="1:4" ht="13" x14ac:dyDescent="0.15">
      <c r="B85" s="7" t="str">
        <f>IF(B83= SUM('Spotlight Data Sheet Summary'!D:D),"MATCH","ERROR")</f>
        <v>MATCH</v>
      </c>
      <c r="C85" s="7" t="str">
        <f>IF(C83= SUM('Spotlight Data Sheet Summary'!E:E),"MATCH","ERROR")</f>
        <v>MATCH</v>
      </c>
      <c r="D85" s="7" t="str">
        <f>IF(D83= SUM('Spotlight Data Sheet Summary'!D:E),"MATCH","ERROR")</f>
        <v>MATCH</v>
      </c>
    </row>
    <row r="86" spans="1:4" ht="13" x14ac:dyDescent="0.15">
      <c r="B86" s="5"/>
      <c r="C86" s="5"/>
      <c r="D86" s="5"/>
    </row>
    <row r="87" spans="1:4" ht="13" x14ac:dyDescent="0.15">
      <c r="B87" s="5"/>
      <c r="C87" s="5"/>
      <c r="D87" s="5"/>
    </row>
    <row r="88" spans="1:4" ht="13" x14ac:dyDescent="0.15">
      <c r="B88" s="5"/>
      <c r="C88" s="5"/>
      <c r="D88" s="5"/>
    </row>
    <row r="89" spans="1:4" ht="13" x14ac:dyDescent="0.15">
      <c r="B89" s="5"/>
      <c r="C89" s="5"/>
      <c r="D89" s="5"/>
    </row>
    <row r="90" spans="1:4" ht="13" x14ac:dyDescent="0.15">
      <c r="B90" s="5"/>
      <c r="C90" s="5"/>
      <c r="D90" s="5"/>
    </row>
    <row r="91" spans="1:4" ht="13" x14ac:dyDescent="0.15">
      <c r="B91" s="5"/>
      <c r="C91" s="5"/>
      <c r="D91" s="5"/>
    </row>
    <row r="92" spans="1:4" ht="13" x14ac:dyDescent="0.15">
      <c r="B92" s="5"/>
      <c r="C92" s="5"/>
      <c r="D92" s="5"/>
    </row>
    <row r="93" spans="1:4" ht="13" x14ac:dyDescent="0.15">
      <c r="B93" s="5"/>
      <c r="C93" s="5"/>
      <c r="D93" s="5"/>
    </row>
    <row r="94" spans="1:4" ht="13" x14ac:dyDescent="0.15">
      <c r="B94" s="5"/>
      <c r="C94" s="5"/>
      <c r="D94" s="5"/>
    </row>
    <row r="95" spans="1:4" ht="13" x14ac:dyDescent="0.15">
      <c r="B95" s="5"/>
      <c r="C95" s="5"/>
      <c r="D95" s="5"/>
    </row>
    <row r="96" spans="1:4" ht="13" x14ac:dyDescent="0.15">
      <c r="B96" s="5"/>
      <c r="C96" s="5"/>
      <c r="D96" s="5"/>
    </row>
    <row r="97" spans="2:4" ht="13" x14ac:dyDescent="0.15">
      <c r="B97" s="5"/>
      <c r="C97" s="5"/>
      <c r="D97" s="5"/>
    </row>
    <row r="98" spans="2:4" ht="13" x14ac:dyDescent="0.15">
      <c r="B98" s="5"/>
      <c r="C98" s="5"/>
      <c r="D98" s="5"/>
    </row>
    <row r="99" spans="2:4" ht="13" x14ac:dyDescent="0.15">
      <c r="B99" s="5"/>
      <c r="C99" s="5"/>
      <c r="D99" s="5"/>
    </row>
    <row r="100" spans="2:4" ht="13" x14ac:dyDescent="0.15">
      <c r="B100" s="5"/>
      <c r="C100" s="5"/>
      <c r="D10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O2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4.5" defaultRowHeight="15.75" customHeight="1" x14ac:dyDescent="0.15"/>
  <cols>
    <col min="1" max="1" width="29" customWidth="1"/>
    <col min="9" max="9" width="3.83203125" customWidth="1"/>
    <col min="16" max="16" width="5.1640625" customWidth="1"/>
  </cols>
  <sheetData>
    <row r="1" spans="1:15" x14ac:dyDescent="0.2">
      <c r="A1" s="1" t="s">
        <v>0</v>
      </c>
    </row>
    <row r="2" spans="1:15" x14ac:dyDescent="0.2">
      <c r="A2" s="1" t="s">
        <v>1</v>
      </c>
    </row>
    <row r="3" spans="1:15" x14ac:dyDescent="0.2">
      <c r="A3" s="1" t="s">
        <v>71</v>
      </c>
    </row>
    <row r="5" spans="1:15" ht="15.75" customHeight="1" x14ac:dyDescent="0.15">
      <c r="B5" s="27">
        <v>2018</v>
      </c>
      <c r="C5" s="28"/>
      <c r="D5" s="28"/>
      <c r="F5" s="27">
        <v>2019</v>
      </c>
      <c r="G5" s="28"/>
      <c r="H5" s="28"/>
      <c r="M5" s="27">
        <v>2020</v>
      </c>
      <c r="N5" s="28"/>
      <c r="O5" s="28"/>
    </row>
    <row r="6" spans="1:15" ht="15.75" customHeight="1" x14ac:dyDescent="0.15">
      <c r="B6" s="2" t="s">
        <v>3</v>
      </c>
      <c r="C6" s="2" t="s">
        <v>4</v>
      </c>
      <c r="D6" s="2" t="s">
        <v>5</v>
      </c>
      <c r="F6" s="2" t="s">
        <v>3</v>
      </c>
      <c r="G6" s="2" t="s">
        <v>4</v>
      </c>
      <c r="H6" s="2" t="s">
        <v>5</v>
      </c>
      <c r="J6" s="2" t="s">
        <v>72</v>
      </c>
      <c r="K6" s="2" t="s">
        <v>73</v>
      </c>
      <c r="M6" s="2" t="s">
        <v>3</v>
      </c>
      <c r="N6" s="2" t="s">
        <v>4</v>
      </c>
      <c r="O6" s="2" t="s">
        <v>5</v>
      </c>
    </row>
    <row r="7" spans="1:15" ht="15.75" customHeight="1" x14ac:dyDescent="0.15">
      <c r="A7" s="3" t="s">
        <v>0</v>
      </c>
    </row>
    <row r="8" spans="1:15" ht="15.75" customHeight="1" x14ac:dyDescent="0.15">
      <c r="A8" s="4" t="s">
        <v>6</v>
      </c>
      <c r="B8" s="5">
        <f>SUMIFS('Spotlight Data Sheet Summary'!D:D,'Spotlight Data Sheet Summary'!$B:$B,$A8,'Spotlight Data Sheet Summary'!$A:$A,2018)</f>
        <v>0</v>
      </c>
      <c r="C8" s="5">
        <f>SUMIFS('Spotlight Data Sheet Summary'!E:E,'Spotlight Data Sheet Summary'!$B:$B,$A8,'Spotlight Data Sheet Summary'!$A:$A,2018)</f>
        <v>631503</v>
      </c>
      <c r="D8" s="5">
        <f t="shared" ref="D8:D21" si="0">SUM(B8:C8)</f>
        <v>631503</v>
      </c>
      <c r="F8" s="5">
        <f>SUMIFS('Spotlight Data Sheet Summary'!D:D,'Spotlight Data Sheet Summary'!$B:$B,$A8,'Spotlight Data Sheet Summary'!$A:$A,2019)</f>
        <v>0</v>
      </c>
      <c r="G8" s="5">
        <f>SUMIFS('Spotlight Data Sheet Summary'!E:E,'Spotlight Data Sheet Summary'!$B:$B,$A8,'Spotlight Data Sheet Summary'!$A:$A,2019)</f>
        <v>837773</v>
      </c>
      <c r="H8" s="5">
        <f t="shared" ref="H8:H21" si="1">SUM(F8:G8)</f>
        <v>837773</v>
      </c>
      <c r="J8" s="5">
        <f t="shared" ref="J8:J21" si="2">H8-D8</f>
        <v>206270</v>
      </c>
      <c r="K8" s="9">
        <f t="shared" ref="K8:K21" si="3">IFERROR(J8/D8,0)</f>
        <v>0.32663344433834834</v>
      </c>
      <c r="M8" s="5">
        <f>SUMIFS('Spotlight Data Sheet Summary'!D:D,'Spotlight Data Sheet Summary'!$B:$B,$A8,'Spotlight Data Sheet Summary'!$A:$A,2020)</f>
        <v>0</v>
      </c>
      <c r="N8" s="5">
        <f>SUMIFS('Spotlight Data Sheet Summary'!E:E,'Spotlight Data Sheet Summary'!$B:$B,$A8,'Spotlight Data Sheet Summary'!$A:$A,2020)</f>
        <v>139536</v>
      </c>
      <c r="O8" s="5">
        <f t="shared" ref="O8:O21" si="4">SUM(M8:N8)</f>
        <v>139536</v>
      </c>
    </row>
    <row r="9" spans="1:15" ht="15.75" customHeight="1" x14ac:dyDescent="0.15">
      <c r="A9" s="4" t="s">
        <v>7</v>
      </c>
      <c r="B9" s="5">
        <f>SUMIFS('Spotlight Data Sheet Summary'!D:D,'Spotlight Data Sheet Summary'!$B:$B,$A9,'Spotlight Data Sheet Summary'!$A:$A,2018)</f>
        <v>0</v>
      </c>
      <c r="C9" s="5">
        <f>SUMIFS('Spotlight Data Sheet Summary'!E:E,'Spotlight Data Sheet Summary'!$B:$B,$A9,'Spotlight Data Sheet Summary'!$A:$A,2018)</f>
        <v>302649</v>
      </c>
      <c r="D9" s="5">
        <f t="shared" si="0"/>
        <v>302649</v>
      </c>
      <c r="F9" s="5">
        <f>SUMIFS('Spotlight Data Sheet Summary'!D:D,'Spotlight Data Sheet Summary'!$B:$B,$A9,'Spotlight Data Sheet Summary'!$A:$A,2019)</f>
        <v>198</v>
      </c>
      <c r="G9" s="5">
        <f>SUMIFS('Spotlight Data Sheet Summary'!E:E,'Spotlight Data Sheet Summary'!$B:$B,$A9,'Spotlight Data Sheet Summary'!$A:$A,2019)</f>
        <v>640077</v>
      </c>
      <c r="H9" s="5">
        <f t="shared" si="1"/>
        <v>640275</v>
      </c>
      <c r="J9" s="5">
        <f t="shared" si="2"/>
        <v>337626</v>
      </c>
      <c r="K9" s="9">
        <f t="shared" si="3"/>
        <v>1.115569521128436</v>
      </c>
      <c r="M9" s="5">
        <f>SUMIFS('Spotlight Data Sheet Summary'!D:D,'Spotlight Data Sheet Summary'!$B:$B,$A9,'Spotlight Data Sheet Summary'!$A:$A,2020)</f>
        <v>0</v>
      </c>
      <c r="N9" s="5">
        <f>SUMIFS('Spotlight Data Sheet Summary'!E:E,'Spotlight Data Sheet Summary'!$B:$B,$A9,'Spotlight Data Sheet Summary'!$A:$A,2020)</f>
        <v>67422</v>
      </c>
      <c r="O9" s="5">
        <f t="shared" si="4"/>
        <v>67422</v>
      </c>
    </row>
    <row r="10" spans="1:15" ht="15.75" customHeight="1" x14ac:dyDescent="0.15">
      <c r="A10" s="4" t="s">
        <v>8</v>
      </c>
      <c r="B10" s="5">
        <f>SUMIFS('Spotlight Data Sheet Summary'!D:D,'Spotlight Data Sheet Summary'!$B:$B,$A10,'Spotlight Data Sheet Summary'!$A:$A,2018)</f>
        <v>81</v>
      </c>
      <c r="C10" s="5">
        <f>SUMIFS('Spotlight Data Sheet Summary'!E:E,'Spotlight Data Sheet Summary'!$B:$B,$A10,'Spotlight Data Sheet Summary'!$A:$A,2018)</f>
        <v>63599</v>
      </c>
      <c r="D10" s="5">
        <f t="shared" si="0"/>
        <v>63680</v>
      </c>
      <c r="F10" s="5">
        <f>SUMIFS('Spotlight Data Sheet Summary'!D:D,'Spotlight Data Sheet Summary'!$B:$B,$A10,'Spotlight Data Sheet Summary'!$A:$A,2019)</f>
        <v>0</v>
      </c>
      <c r="G10" s="5">
        <f>SUMIFS('Spotlight Data Sheet Summary'!E:E,'Spotlight Data Sheet Summary'!$B:$B,$A10,'Spotlight Data Sheet Summary'!$A:$A,2019)</f>
        <v>63149</v>
      </c>
      <c r="H10" s="5">
        <f t="shared" si="1"/>
        <v>63149</v>
      </c>
      <c r="J10" s="5">
        <f t="shared" si="2"/>
        <v>-531</v>
      </c>
      <c r="K10" s="9">
        <f t="shared" si="3"/>
        <v>-8.3385678391959799E-3</v>
      </c>
      <c r="M10" s="5">
        <f>SUMIFS('Spotlight Data Sheet Summary'!D:D,'Spotlight Data Sheet Summary'!$B:$B,$A10,'Spotlight Data Sheet Summary'!$A:$A,2020)</f>
        <v>0</v>
      </c>
      <c r="N10" s="5">
        <f>SUMIFS('Spotlight Data Sheet Summary'!E:E,'Spotlight Data Sheet Summary'!$B:$B,$A10,'Spotlight Data Sheet Summary'!$A:$A,2020)</f>
        <v>7452</v>
      </c>
      <c r="O10" s="5">
        <f t="shared" si="4"/>
        <v>7452</v>
      </c>
    </row>
    <row r="11" spans="1:15" ht="15.75" customHeight="1" x14ac:dyDescent="0.15">
      <c r="A11" s="4" t="s">
        <v>9</v>
      </c>
      <c r="B11" s="5">
        <f>SUMIFS('Spotlight Data Sheet Summary'!D:D,'Spotlight Data Sheet Summary'!$B:$B,$A11,'Spotlight Data Sheet Summary'!$A:$A,2018)</f>
        <v>0</v>
      </c>
      <c r="C11" s="5">
        <f>SUMIFS('Spotlight Data Sheet Summary'!E:E,'Spotlight Data Sheet Summary'!$B:$B,$A11,'Spotlight Data Sheet Summary'!$A:$A,2018)</f>
        <v>43803</v>
      </c>
      <c r="D11" s="5">
        <f t="shared" si="0"/>
        <v>43803</v>
      </c>
      <c r="F11" s="5">
        <f>SUMIFS('Spotlight Data Sheet Summary'!D:D,'Spotlight Data Sheet Summary'!$B:$B,$A11,'Spotlight Data Sheet Summary'!$A:$A,2019)</f>
        <v>0</v>
      </c>
      <c r="G11" s="5">
        <f>SUMIFS('Spotlight Data Sheet Summary'!E:E,'Spotlight Data Sheet Summary'!$B:$B,$A11,'Spotlight Data Sheet Summary'!$A:$A,2019)</f>
        <v>146891</v>
      </c>
      <c r="H11" s="5">
        <f t="shared" si="1"/>
        <v>146891</v>
      </c>
      <c r="J11" s="5">
        <f t="shared" si="2"/>
        <v>103088</v>
      </c>
      <c r="K11" s="9">
        <f t="shared" si="3"/>
        <v>2.3534461109969635</v>
      </c>
      <c r="M11" s="5">
        <f>SUMIFS('Spotlight Data Sheet Summary'!D:D,'Spotlight Data Sheet Summary'!$B:$B,$A11,'Spotlight Data Sheet Summary'!$A:$A,2020)</f>
        <v>0</v>
      </c>
      <c r="N11" s="5">
        <f>SUMIFS('Spotlight Data Sheet Summary'!E:E,'Spotlight Data Sheet Summary'!$B:$B,$A11,'Spotlight Data Sheet Summary'!$A:$A,2020)</f>
        <v>4596</v>
      </c>
      <c r="O11" s="5">
        <f t="shared" si="4"/>
        <v>4596</v>
      </c>
    </row>
    <row r="12" spans="1:15" ht="15.75" customHeight="1" x14ac:dyDescent="0.15">
      <c r="A12" s="4" t="s">
        <v>10</v>
      </c>
      <c r="B12" s="5">
        <f>SUMIFS('Spotlight Data Sheet Summary'!D:D,'Spotlight Data Sheet Summary'!$B:$B,$A12,'Spotlight Data Sheet Summary'!$A:$A,2018)</f>
        <v>0</v>
      </c>
      <c r="C12" s="5">
        <f>SUMIFS('Spotlight Data Sheet Summary'!E:E,'Spotlight Data Sheet Summary'!$B:$B,$A12,'Spotlight Data Sheet Summary'!$A:$A,2018)</f>
        <v>220650</v>
      </c>
      <c r="D12" s="5">
        <f t="shared" si="0"/>
        <v>220650</v>
      </c>
      <c r="F12" s="5">
        <f>SUMIFS('Spotlight Data Sheet Summary'!D:D,'Spotlight Data Sheet Summary'!$B:$B,$A12,'Spotlight Data Sheet Summary'!$A:$A,2019)</f>
        <v>0</v>
      </c>
      <c r="G12" s="5">
        <f>SUMIFS('Spotlight Data Sheet Summary'!E:E,'Spotlight Data Sheet Summary'!$B:$B,$A12,'Spotlight Data Sheet Summary'!$A:$A,2019)</f>
        <v>483053</v>
      </c>
      <c r="H12" s="5">
        <f t="shared" si="1"/>
        <v>483053</v>
      </c>
      <c r="J12" s="5">
        <f t="shared" si="2"/>
        <v>262403</v>
      </c>
      <c r="K12" s="9">
        <f t="shared" si="3"/>
        <v>1.1892272830274191</v>
      </c>
      <c r="M12" s="5">
        <f>SUMIFS('Spotlight Data Sheet Summary'!D:D,'Spotlight Data Sheet Summary'!$B:$B,$A12,'Spotlight Data Sheet Summary'!$A:$A,2020)</f>
        <v>0</v>
      </c>
      <c r="N12" s="5">
        <f>SUMIFS('Spotlight Data Sheet Summary'!E:E,'Spotlight Data Sheet Summary'!$B:$B,$A12,'Spotlight Data Sheet Summary'!$A:$A,2020)</f>
        <v>75030</v>
      </c>
      <c r="O12" s="5">
        <f t="shared" si="4"/>
        <v>75030</v>
      </c>
    </row>
    <row r="13" spans="1:15" ht="15.75" customHeight="1" x14ac:dyDescent="0.15">
      <c r="A13" s="4" t="s">
        <v>11</v>
      </c>
      <c r="B13" s="5">
        <f>SUMIFS('Spotlight Data Sheet Summary'!D:D,'Spotlight Data Sheet Summary'!$B:$B,$A13,'Spotlight Data Sheet Summary'!$A:$A,2018)</f>
        <v>299173</v>
      </c>
      <c r="C13" s="5">
        <f>SUMIFS('Spotlight Data Sheet Summary'!E:E,'Spotlight Data Sheet Summary'!$B:$B,$A13,'Spotlight Data Sheet Summary'!$A:$A,2018)</f>
        <v>0</v>
      </c>
      <c r="D13" s="5">
        <f t="shared" si="0"/>
        <v>299173</v>
      </c>
      <c r="F13" s="5">
        <f>SUMIFS('Spotlight Data Sheet Summary'!D:D,'Spotlight Data Sheet Summary'!$B:$B,$A13,'Spotlight Data Sheet Summary'!$A:$A,2019)</f>
        <v>259912</v>
      </c>
      <c r="G13" s="5">
        <f>SUMIFS('Spotlight Data Sheet Summary'!E:E,'Spotlight Data Sheet Summary'!$B:$B,$A13,'Spotlight Data Sheet Summary'!$A:$A,2019)</f>
        <v>0</v>
      </c>
      <c r="H13" s="5">
        <f t="shared" si="1"/>
        <v>259912</v>
      </c>
      <c r="J13" s="5">
        <f t="shared" si="2"/>
        <v>-39261</v>
      </c>
      <c r="K13" s="9">
        <f t="shared" si="3"/>
        <v>-0.13123176222453228</v>
      </c>
      <c r="M13" s="5">
        <f>SUMIFS('Spotlight Data Sheet Summary'!D:D,'Spotlight Data Sheet Summary'!$B:$B,$A13,'Spotlight Data Sheet Summary'!$A:$A,2020)</f>
        <v>40157</v>
      </c>
      <c r="N13" s="5">
        <f>SUMIFS('Spotlight Data Sheet Summary'!E:E,'Spotlight Data Sheet Summary'!$B:$B,$A13,'Spotlight Data Sheet Summary'!$A:$A,2020)</f>
        <v>0</v>
      </c>
      <c r="O13" s="5">
        <f t="shared" si="4"/>
        <v>40157</v>
      </c>
    </row>
    <row r="14" spans="1:15" ht="15.75" customHeight="1" x14ac:dyDescent="0.15">
      <c r="A14" s="4" t="s">
        <v>12</v>
      </c>
      <c r="B14" s="5">
        <f>SUMIFS('Spotlight Data Sheet Summary'!D:D,'Spotlight Data Sheet Summary'!$B:$B,$A14,'Spotlight Data Sheet Summary'!$A:$A,2018)</f>
        <v>177991</v>
      </c>
      <c r="C14" s="5">
        <f>SUMIFS('Spotlight Data Sheet Summary'!E:E,'Spotlight Data Sheet Summary'!$B:$B,$A14,'Spotlight Data Sheet Summary'!$A:$A,2018)</f>
        <v>0</v>
      </c>
      <c r="D14" s="5">
        <f t="shared" si="0"/>
        <v>177991</v>
      </c>
      <c r="F14" s="5">
        <f>SUMIFS('Spotlight Data Sheet Summary'!D:D,'Spotlight Data Sheet Summary'!$B:$B,$A14,'Spotlight Data Sheet Summary'!$A:$A,2019)</f>
        <v>295420</v>
      </c>
      <c r="G14" s="5">
        <f>SUMIFS('Spotlight Data Sheet Summary'!E:E,'Spotlight Data Sheet Summary'!$B:$B,$A14,'Spotlight Data Sheet Summary'!$A:$A,2019)</f>
        <v>1623</v>
      </c>
      <c r="H14" s="5">
        <f t="shared" si="1"/>
        <v>297043</v>
      </c>
      <c r="J14" s="5">
        <f t="shared" si="2"/>
        <v>119052</v>
      </c>
      <c r="K14" s="9">
        <f t="shared" si="3"/>
        <v>0.66886527970515364</v>
      </c>
      <c r="M14" s="5">
        <f>SUMIFS('Spotlight Data Sheet Summary'!D:D,'Spotlight Data Sheet Summary'!$B:$B,$A14,'Spotlight Data Sheet Summary'!$A:$A,2020)</f>
        <v>25656</v>
      </c>
      <c r="N14" s="5">
        <f>SUMIFS('Spotlight Data Sheet Summary'!E:E,'Spotlight Data Sheet Summary'!$B:$B,$A14,'Spotlight Data Sheet Summary'!$A:$A,2020)</f>
        <v>0</v>
      </c>
      <c r="O14" s="5">
        <f t="shared" si="4"/>
        <v>25656</v>
      </c>
    </row>
    <row r="15" spans="1:15" ht="15.75" customHeight="1" x14ac:dyDescent="0.15">
      <c r="A15" s="4" t="s">
        <v>13</v>
      </c>
      <c r="B15" s="5">
        <f>SUMIFS('Spotlight Data Sheet Summary'!D:D,'Spotlight Data Sheet Summary'!$B:$B,$A15,'Spotlight Data Sheet Summary'!$A:$A,2018)</f>
        <v>7143</v>
      </c>
      <c r="C15" s="5">
        <f>SUMIFS('Spotlight Data Sheet Summary'!E:E,'Spotlight Data Sheet Summary'!$B:$B,$A15,'Spotlight Data Sheet Summary'!$A:$A,2018)</f>
        <v>36178</v>
      </c>
      <c r="D15" s="5">
        <f t="shared" si="0"/>
        <v>43321</v>
      </c>
      <c r="F15" s="5">
        <f>SUMIFS('Spotlight Data Sheet Summary'!D:D,'Spotlight Data Sheet Summary'!$B:$B,$A15,'Spotlight Data Sheet Summary'!$A:$A,2019)</f>
        <v>15421</v>
      </c>
      <c r="G15" s="5">
        <f>SUMIFS('Spotlight Data Sheet Summary'!E:E,'Spotlight Data Sheet Summary'!$B:$B,$A15,'Spotlight Data Sheet Summary'!$A:$A,2019)</f>
        <v>85937</v>
      </c>
      <c r="H15" s="5">
        <f t="shared" si="1"/>
        <v>101358</v>
      </c>
      <c r="J15" s="5">
        <f t="shared" si="2"/>
        <v>58037</v>
      </c>
      <c r="K15" s="9">
        <f t="shared" si="3"/>
        <v>1.3396966829020567</v>
      </c>
      <c r="M15" s="5">
        <f>SUMIFS('Spotlight Data Sheet Summary'!D:D,'Spotlight Data Sheet Summary'!$B:$B,$A15,'Spotlight Data Sheet Summary'!$A:$A,2020)</f>
        <v>576</v>
      </c>
      <c r="N15" s="5">
        <f>SUMIFS('Spotlight Data Sheet Summary'!E:E,'Spotlight Data Sheet Summary'!$B:$B,$A15,'Spotlight Data Sheet Summary'!$A:$A,2020)</f>
        <v>1759</v>
      </c>
      <c r="O15" s="5">
        <f t="shared" si="4"/>
        <v>2335</v>
      </c>
    </row>
    <row r="16" spans="1:15" ht="15.75" customHeight="1" x14ac:dyDescent="0.15">
      <c r="A16" s="4" t="s">
        <v>14</v>
      </c>
      <c r="B16" s="5">
        <f>SUMIFS('Spotlight Data Sheet Summary'!D:D,'Spotlight Data Sheet Summary'!$B:$B,$A16,'Spotlight Data Sheet Summary'!$A:$A,2018)</f>
        <v>69919</v>
      </c>
      <c r="C16" s="5">
        <f>SUMIFS('Spotlight Data Sheet Summary'!E:E,'Spotlight Data Sheet Summary'!$B:$B,$A16,'Spotlight Data Sheet Summary'!$A:$A,2018)</f>
        <v>0</v>
      </c>
      <c r="D16" s="5">
        <f t="shared" si="0"/>
        <v>69919</v>
      </c>
      <c r="F16" s="5">
        <f>SUMIFS('Spotlight Data Sheet Summary'!D:D,'Spotlight Data Sheet Summary'!$B:$B,$A16,'Spotlight Data Sheet Summary'!$A:$A,2019)</f>
        <v>84038</v>
      </c>
      <c r="G16" s="5">
        <f>SUMIFS('Spotlight Data Sheet Summary'!E:E,'Spotlight Data Sheet Summary'!$B:$B,$A16,'Spotlight Data Sheet Summary'!$A:$A,2019)</f>
        <v>127</v>
      </c>
      <c r="H16" s="5">
        <f t="shared" si="1"/>
        <v>84165</v>
      </c>
      <c r="J16" s="5">
        <f t="shared" si="2"/>
        <v>14246</v>
      </c>
      <c r="K16" s="9">
        <f t="shared" si="3"/>
        <v>0.20375005363349019</v>
      </c>
      <c r="M16" s="5">
        <f>SUMIFS('Spotlight Data Sheet Summary'!D:D,'Spotlight Data Sheet Summary'!$B:$B,$A16,'Spotlight Data Sheet Summary'!$A:$A,2020)</f>
        <v>15848</v>
      </c>
      <c r="N16" s="5">
        <f>SUMIFS('Spotlight Data Sheet Summary'!E:E,'Spotlight Data Sheet Summary'!$B:$B,$A16,'Spotlight Data Sheet Summary'!$A:$A,2020)</f>
        <v>0</v>
      </c>
      <c r="O16" s="5">
        <f t="shared" si="4"/>
        <v>15848</v>
      </c>
    </row>
    <row r="17" spans="1:15" ht="15.75" customHeight="1" x14ac:dyDescent="0.15">
      <c r="A17" s="4" t="s">
        <v>15</v>
      </c>
      <c r="B17" s="5">
        <f>SUMIFS('Spotlight Data Sheet Summary'!D:D,'Spotlight Data Sheet Summary'!$B:$B,$A17,'Spotlight Data Sheet Summary'!$A:$A,2018)</f>
        <v>36572</v>
      </c>
      <c r="C17" s="5">
        <f>SUMIFS('Spotlight Data Sheet Summary'!E:E,'Spotlight Data Sheet Summary'!$B:$B,$A17,'Spotlight Data Sheet Summary'!$A:$A,2018)</f>
        <v>10611</v>
      </c>
      <c r="D17" s="5">
        <f t="shared" si="0"/>
        <v>47183</v>
      </c>
      <c r="F17" s="5">
        <f>SUMIFS('Spotlight Data Sheet Summary'!D:D,'Spotlight Data Sheet Summary'!$B:$B,$A17,'Spotlight Data Sheet Summary'!$A:$A,2019)</f>
        <v>58517</v>
      </c>
      <c r="G17" s="5">
        <f>SUMIFS('Spotlight Data Sheet Summary'!E:E,'Spotlight Data Sheet Summary'!$B:$B,$A17,'Spotlight Data Sheet Summary'!$A:$A,2019)</f>
        <v>23866</v>
      </c>
      <c r="H17" s="5">
        <f t="shared" si="1"/>
        <v>82383</v>
      </c>
      <c r="J17" s="5">
        <f t="shared" si="2"/>
        <v>35200</v>
      </c>
      <c r="K17" s="9">
        <f t="shared" si="3"/>
        <v>0.74603140961787084</v>
      </c>
      <c r="M17" s="5">
        <f>SUMIFS('Spotlight Data Sheet Summary'!D:D,'Spotlight Data Sheet Summary'!$B:$B,$A17,'Spotlight Data Sheet Summary'!$A:$A,2020)</f>
        <v>4319</v>
      </c>
      <c r="N17" s="5">
        <f>SUMIFS('Spotlight Data Sheet Summary'!E:E,'Spotlight Data Sheet Summary'!$B:$B,$A17,'Spotlight Data Sheet Summary'!$A:$A,2020)</f>
        <v>302</v>
      </c>
      <c r="O17" s="5">
        <f t="shared" si="4"/>
        <v>4621</v>
      </c>
    </row>
    <row r="18" spans="1:15" ht="15.75" customHeight="1" x14ac:dyDescent="0.15">
      <c r="A18" s="4" t="s">
        <v>16</v>
      </c>
      <c r="B18" s="5">
        <f>SUMIFS('Spotlight Data Sheet Summary'!D:D,'Spotlight Data Sheet Summary'!$B:$B,$A18,'Spotlight Data Sheet Summary'!$A:$A,2018)</f>
        <v>21859</v>
      </c>
      <c r="C18" s="5">
        <f>SUMIFS('Spotlight Data Sheet Summary'!E:E,'Spotlight Data Sheet Summary'!$B:$B,$A18,'Spotlight Data Sheet Summary'!$A:$A,2018)</f>
        <v>43729</v>
      </c>
      <c r="D18" s="5">
        <f t="shared" si="0"/>
        <v>65588</v>
      </c>
      <c r="F18" s="5">
        <f>SUMIFS('Spotlight Data Sheet Summary'!D:D,'Spotlight Data Sheet Summary'!$B:$B,$A18,'Spotlight Data Sheet Summary'!$A:$A,2019)</f>
        <v>3590</v>
      </c>
      <c r="G18" s="5">
        <f>SUMIFS('Spotlight Data Sheet Summary'!E:E,'Spotlight Data Sheet Summary'!$B:$B,$A18,'Spotlight Data Sheet Summary'!$A:$A,2019)</f>
        <v>27123</v>
      </c>
      <c r="H18" s="5">
        <f t="shared" si="1"/>
        <v>30713</v>
      </c>
      <c r="J18" s="5">
        <f t="shared" si="2"/>
        <v>-34875</v>
      </c>
      <c r="K18" s="9">
        <f t="shared" si="3"/>
        <v>-0.53172836494480702</v>
      </c>
      <c r="M18" s="5">
        <f>SUMIFS('Spotlight Data Sheet Summary'!D:D,'Spotlight Data Sheet Summary'!$B:$B,$A18,'Spotlight Data Sheet Summary'!$A:$A,2020)</f>
        <v>0</v>
      </c>
      <c r="N18" s="5">
        <f>SUMIFS('Spotlight Data Sheet Summary'!E:E,'Spotlight Data Sheet Summary'!$B:$B,$A18,'Spotlight Data Sheet Summary'!$A:$A,2020)</f>
        <v>2099</v>
      </c>
      <c r="O18" s="5">
        <f t="shared" si="4"/>
        <v>2099</v>
      </c>
    </row>
    <row r="19" spans="1:15" ht="15.75" customHeight="1" x14ac:dyDescent="0.15">
      <c r="A19" s="4" t="s">
        <v>17</v>
      </c>
      <c r="B19" s="5">
        <f>SUMIFS('Spotlight Data Sheet Summary'!D:D,'Spotlight Data Sheet Summary'!$B:$B,$A19,'Spotlight Data Sheet Summary'!$A:$A,2018)</f>
        <v>678</v>
      </c>
      <c r="C19" s="5">
        <f>SUMIFS('Spotlight Data Sheet Summary'!E:E,'Spotlight Data Sheet Summary'!$B:$B,$A19,'Spotlight Data Sheet Summary'!$A:$A,2018)</f>
        <v>14426</v>
      </c>
      <c r="D19" s="5">
        <f t="shared" si="0"/>
        <v>15104</v>
      </c>
      <c r="F19" s="5">
        <f>SUMIFS('Spotlight Data Sheet Summary'!D:D,'Spotlight Data Sheet Summary'!$B:$B,$A19,'Spotlight Data Sheet Summary'!$A:$A,2019)</f>
        <v>10</v>
      </c>
      <c r="G19" s="5">
        <f>SUMIFS('Spotlight Data Sheet Summary'!E:E,'Spotlight Data Sheet Summary'!$B:$B,$A19,'Spotlight Data Sheet Summary'!$A:$A,2019)</f>
        <v>44713</v>
      </c>
      <c r="H19" s="5">
        <f t="shared" si="1"/>
        <v>44723</v>
      </c>
      <c r="J19" s="5">
        <f t="shared" si="2"/>
        <v>29619</v>
      </c>
      <c r="K19" s="9">
        <f t="shared" si="3"/>
        <v>1.9610037076271187</v>
      </c>
      <c r="M19" s="5">
        <f>SUMIFS('Spotlight Data Sheet Summary'!D:D,'Spotlight Data Sheet Summary'!$B:$B,$A19,'Spotlight Data Sheet Summary'!$A:$A,2020)</f>
        <v>0</v>
      </c>
      <c r="N19" s="5">
        <f>SUMIFS('Spotlight Data Sheet Summary'!E:E,'Spotlight Data Sheet Summary'!$B:$B,$A19,'Spotlight Data Sheet Summary'!$A:$A,2020)</f>
        <v>-5</v>
      </c>
      <c r="O19" s="5">
        <f t="shared" si="4"/>
        <v>-5</v>
      </c>
    </row>
    <row r="20" spans="1:15" ht="15.75" customHeight="1" x14ac:dyDescent="0.15">
      <c r="A20" s="4" t="s">
        <v>18</v>
      </c>
      <c r="B20" s="5">
        <f>SUMIFS('Spotlight Data Sheet Summary'!D:D,'Spotlight Data Sheet Summary'!$B:$B,$A20,'Spotlight Data Sheet Summary'!$A:$A,2018)</f>
        <v>0</v>
      </c>
      <c r="C20" s="5">
        <f>SUMIFS('Spotlight Data Sheet Summary'!E:E,'Spotlight Data Sheet Summary'!$B:$B,$A20,'Spotlight Data Sheet Summary'!$A:$A,2018)</f>
        <v>409</v>
      </c>
      <c r="D20" s="5">
        <f t="shared" si="0"/>
        <v>409</v>
      </c>
      <c r="F20" s="5">
        <f>SUMIFS('Spotlight Data Sheet Summary'!D:D,'Spotlight Data Sheet Summary'!$B:$B,$A20,'Spotlight Data Sheet Summary'!$A:$A,2019)</f>
        <v>0</v>
      </c>
      <c r="G20" s="5">
        <f>SUMIFS('Spotlight Data Sheet Summary'!E:E,'Spotlight Data Sheet Summary'!$B:$B,$A20,'Spotlight Data Sheet Summary'!$A:$A,2019)</f>
        <v>0</v>
      </c>
      <c r="H20" s="5">
        <f t="shared" si="1"/>
        <v>0</v>
      </c>
      <c r="J20" s="5">
        <f t="shared" si="2"/>
        <v>-409</v>
      </c>
      <c r="K20" s="9">
        <f t="shared" si="3"/>
        <v>-1</v>
      </c>
      <c r="M20" s="5">
        <f>SUMIFS('Spotlight Data Sheet Summary'!D:D,'Spotlight Data Sheet Summary'!$B:$B,$A20,'Spotlight Data Sheet Summary'!$A:$A,2020)</f>
        <v>0</v>
      </c>
      <c r="N20" s="5">
        <f>SUMIFS('Spotlight Data Sheet Summary'!E:E,'Spotlight Data Sheet Summary'!$B:$B,$A20,'Spotlight Data Sheet Summary'!$A:$A,2020)</f>
        <v>0</v>
      </c>
      <c r="O20" s="5">
        <f t="shared" si="4"/>
        <v>0</v>
      </c>
    </row>
    <row r="21" spans="1:15" ht="15.75" customHeight="1" x14ac:dyDescent="0.15">
      <c r="A21" s="4" t="s">
        <v>19</v>
      </c>
      <c r="B21" s="5">
        <f>SUMIFS('Spotlight Data Sheet Summary'!D:D,'Spotlight Data Sheet Summary'!$B:$B,$A21,'Spotlight Data Sheet Summary'!$A:$A,2018)</f>
        <v>0</v>
      </c>
      <c r="C21" s="5">
        <f>SUMIFS('Spotlight Data Sheet Summary'!E:E,'Spotlight Data Sheet Summary'!$B:$B,$A21,'Spotlight Data Sheet Summary'!$A:$A,2018)</f>
        <v>0</v>
      </c>
      <c r="D21" s="5">
        <f t="shared" si="0"/>
        <v>0</v>
      </c>
      <c r="F21" s="5">
        <f>SUMIFS('Spotlight Data Sheet Summary'!D:D,'Spotlight Data Sheet Summary'!$B:$B,$A21,'Spotlight Data Sheet Summary'!$A:$A,2019)</f>
        <v>0</v>
      </c>
      <c r="G21" s="5">
        <f>SUMIFS('Spotlight Data Sheet Summary'!E:E,'Spotlight Data Sheet Summary'!$B:$B,$A21,'Spotlight Data Sheet Summary'!$A:$A,2019)</f>
        <v>0</v>
      </c>
      <c r="H21" s="5">
        <f t="shared" si="1"/>
        <v>0</v>
      </c>
      <c r="J21" s="5">
        <f t="shared" si="2"/>
        <v>0</v>
      </c>
      <c r="K21" s="9">
        <f t="shared" si="3"/>
        <v>0</v>
      </c>
      <c r="M21" s="5">
        <f>SUMIFS('Spotlight Data Sheet Summary'!D:D,'Spotlight Data Sheet Summary'!$B:$B,$A21,'Spotlight Data Sheet Summary'!$A:$A,2020)</f>
        <v>0</v>
      </c>
      <c r="N21" s="5">
        <f>SUMIFS('Spotlight Data Sheet Summary'!E:E,'Spotlight Data Sheet Summary'!$B:$B,$A21,'Spotlight Data Sheet Summary'!$A:$A,2020)</f>
        <v>0</v>
      </c>
      <c r="O21" s="5">
        <f t="shared" si="4"/>
        <v>0</v>
      </c>
    </row>
    <row r="22" spans="1:15" ht="15.75" customHeight="1" x14ac:dyDescent="0.15">
      <c r="B22" s="5"/>
      <c r="C22" s="5"/>
      <c r="D22" s="5"/>
      <c r="F22" s="5"/>
      <c r="G22" s="5"/>
      <c r="H22" s="5"/>
      <c r="M22" s="5"/>
      <c r="N22" s="5"/>
      <c r="O22" s="5"/>
    </row>
    <row r="23" spans="1:15" ht="15.75" customHeight="1" x14ac:dyDescent="0.15">
      <c r="A23" s="3" t="s">
        <v>20</v>
      </c>
      <c r="B23" s="6">
        <f t="shared" ref="B23:D23" si="5">SUM(B8:B22)</f>
        <v>613416</v>
      </c>
      <c r="C23" s="6">
        <f t="shared" si="5"/>
        <v>1367557</v>
      </c>
      <c r="D23" s="6">
        <f t="shared" si="5"/>
        <v>1980973</v>
      </c>
      <c r="F23" s="6">
        <f t="shared" ref="F23:H23" si="6">SUM(F8:F22)</f>
        <v>717106</v>
      </c>
      <c r="G23" s="6">
        <f t="shared" si="6"/>
        <v>2354332</v>
      </c>
      <c r="H23" s="6">
        <f t="shared" si="6"/>
        <v>3071438</v>
      </c>
      <c r="J23" s="5">
        <f>H23-D23</f>
        <v>1090465</v>
      </c>
      <c r="K23" s="10">
        <f>IFERROR(J23/D23,0)</f>
        <v>0.55046939054696864</v>
      </c>
      <c r="M23" s="6">
        <f t="shared" ref="M23:O23" si="7">SUM(M8:M22)</f>
        <v>86556</v>
      </c>
      <c r="N23" s="6">
        <f t="shared" si="7"/>
        <v>298191</v>
      </c>
      <c r="O23" s="6">
        <f t="shared" si="7"/>
        <v>384747</v>
      </c>
    </row>
    <row r="25" spans="1:15" ht="15.75" customHeight="1" x14ac:dyDescent="0.15">
      <c r="A25" s="3"/>
      <c r="B25" s="7" t="str">
        <f>IF(B23= SUMIF('Spotlight Data Sheet Summary'!$A:$A,2018,'Spotlight Data Sheet Summary'!D:D),"MATCH","ERROR")</f>
        <v>MATCH</v>
      </c>
      <c r="C25" s="7" t="str">
        <f>IF(C23= SUMIF('Spotlight Data Sheet Summary'!$A:$A,2018,'Spotlight Data Sheet Summary'!E:E),"MATCH","ERROR")</f>
        <v>MATCH</v>
      </c>
      <c r="D25" s="7"/>
      <c r="F25" s="7" t="str">
        <f>IF(F23= SUMIF('Spotlight Data Sheet Summary'!$A:$A,2019,'Spotlight Data Sheet Summary'!D:D),"MATCH","ERROR")</f>
        <v>MATCH</v>
      </c>
      <c r="G25" s="7" t="str">
        <f>IF(G23= SUMIF('Spotlight Data Sheet Summary'!$A:$A,2019,'Spotlight Data Sheet Summary'!E:E),"MATCH","ERROR")</f>
        <v>MATCH</v>
      </c>
      <c r="M25" s="7" t="str">
        <f>IF(M23= SUMIF('Spotlight Data Sheet Summary'!$A:$A,2020,'Spotlight Data Sheet Summary'!D:D),"MATCH","ERROR")</f>
        <v>MATCH</v>
      </c>
      <c r="N25" s="7" t="str">
        <f>IF(N23= SUMIF('Spotlight Data Sheet Summary'!$A:$A,2020,'Spotlight Data Sheet Summary'!E:E),"MATCH","ERROR")</f>
        <v>MATCH</v>
      </c>
    </row>
  </sheetData>
  <mergeCells count="3">
    <mergeCell ref="B5:D5"/>
    <mergeCell ref="F5:H5"/>
    <mergeCell ref="M5:O5"/>
  </mergeCells>
  <conditionalFormatting sqref="K1:K30">
    <cfRule type="cellIs" dxfId="3" priority="1" operator="greaterThanOrEqual">
      <formula>"100%"</formula>
    </cfRule>
  </conditionalFormatting>
  <conditionalFormatting sqref="K1:K30">
    <cfRule type="cellIs" dxfId="2" priority="2" operator="lessThanOrEqual">
      <formula>"-100%"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O10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ColWidth="14.5" defaultRowHeight="15.75" customHeight="1" x14ac:dyDescent="0.15"/>
  <cols>
    <col min="1" max="1" width="48.6640625" customWidth="1"/>
    <col min="9" max="9" width="7.1640625" customWidth="1"/>
  </cols>
  <sheetData>
    <row r="1" spans="1:15" x14ac:dyDescent="0.2">
      <c r="A1" s="1" t="s">
        <v>0</v>
      </c>
      <c r="B1" s="5"/>
      <c r="C1" s="5"/>
      <c r="D1" s="5"/>
    </row>
    <row r="2" spans="1:15" x14ac:dyDescent="0.2">
      <c r="A2" s="1" t="s">
        <v>1</v>
      </c>
      <c r="B2" s="5"/>
      <c r="C2" s="5"/>
      <c r="D2" s="5"/>
    </row>
    <row r="3" spans="1:15" x14ac:dyDescent="0.2">
      <c r="A3" s="1" t="s">
        <v>71</v>
      </c>
      <c r="B3" s="5"/>
      <c r="C3" s="5"/>
      <c r="D3" s="5"/>
    </row>
    <row r="4" spans="1:15" ht="15.75" customHeight="1" x14ac:dyDescent="0.15">
      <c r="B4" s="5"/>
      <c r="C4" s="5"/>
      <c r="D4" s="5"/>
    </row>
    <row r="5" spans="1:15" ht="15.75" customHeight="1" x14ac:dyDescent="0.15">
      <c r="B5" s="27">
        <v>2018</v>
      </c>
      <c r="C5" s="28"/>
      <c r="D5" s="28"/>
      <c r="F5" s="27">
        <v>2019</v>
      </c>
      <c r="G5" s="28"/>
      <c r="H5" s="28"/>
      <c r="M5" s="27">
        <v>2020</v>
      </c>
      <c r="N5" s="28"/>
      <c r="O5" s="28"/>
    </row>
    <row r="6" spans="1:15" ht="15.75" customHeight="1" x14ac:dyDescent="0.15">
      <c r="B6" s="8" t="s">
        <v>3</v>
      </c>
      <c r="C6" s="8" t="s">
        <v>4</v>
      </c>
      <c r="D6" s="8" t="s">
        <v>5</v>
      </c>
      <c r="F6" s="8" t="s">
        <v>3</v>
      </c>
      <c r="G6" s="8" t="s">
        <v>4</v>
      </c>
      <c r="H6" s="8" t="s">
        <v>5</v>
      </c>
      <c r="J6" s="2" t="s">
        <v>72</v>
      </c>
      <c r="K6" s="2" t="s">
        <v>73</v>
      </c>
      <c r="M6" s="8" t="s">
        <v>3</v>
      </c>
      <c r="N6" s="8" t="s">
        <v>4</v>
      </c>
      <c r="O6" s="8" t="s">
        <v>5</v>
      </c>
    </row>
    <row r="7" spans="1:15" ht="15.75" customHeight="1" x14ac:dyDescent="0.15">
      <c r="A7" s="3" t="s">
        <v>0</v>
      </c>
      <c r="B7" s="5"/>
      <c r="C7" s="5"/>
      <c r="D7" s="5"/>
      <c r="F7" s="5"/>
      <c r="G7" s="5"/>
      <c r="H7" s="5"/>
      <c r="M7" s="5"/>
      <c r="N7" s="5"/>
      <c r="O7" s="5"/>
    </row>
    <row r="8" spans="1:15" ht="15.75" customHeight="1" x14ac:dyDescent="0.15">
      <c r="A8" s="3" t="s">
        <v>6</v>
      </c>
      <c r="B8" s="5"/>
      <c r="C8" s="5"/>
      <c r="D8" s="5"/>
      <c r="F8" s="5"/>
      <c r="G8" s="5"/>
      <c r="H8" s="5"/>
      <c r="M8" s="5"/>
      <c r="N8" s="5"/>
      <c r="O8" s="5"/>
    </row>
    <row r="9" spans="1:15" ht="15.75" customHeight="1" x14ac:dyDescent="0.15">
      <c r="A9" s="4" t="s">
        <v>21</v>
      </c>
      <c r="B9" s="5">
        <f>SUMIFS('Spotlight Data Sheet Summary'!D:D,'Spotlight Data Sheet Summary'!$C:$C,$A9,'Spotlight Data Sheet Summary'!$A:$A,2018)</f>
        <v>0</v>
      </c>
      <c r="C9" s="5">
        <f>SUMIFS('Spotlight Data Sheet Summary'!E:E,'Spotlight Data Sheet Summary'!$C:$C,$A9,'Spotlight Data Sheet Summary'!$A:$A,2018)</f>
        <v>631503</v>
      </c>
      <c r="D9" s="5">
        <f>SUM(B9:C9)</f>
        <v>631503</v>
      </c>
      <c r="F9" s="5">
        <f>SUMIFS('Spotlight Data Sheet Summary'!D:D,'Spotlight Data Sheet Summary'!$C:$C,$A9,'Spotlight Data Sheet Summary'!$A:$A,2019)</f>
        <v>0</v>
      </c>
      <c r="G9" s="5">
        <f>SUMIFS('Spotlight Data Sheet Summary'!E:E,'Spotlight Data Sheet Summary'!$C:$C,$A9,'Spotlight Data Sheet Summary'!$A:$A,2019)</f>
        <v>837773</v>
      </c>
      <c r="H9" s="5">
        <f>SUM(F9:G9)</f>
        <v>837773</v>
      </c>
      <c r="J9" s="5">
        <f>H9-D9</f>
        <v>206270</v>
      </c>
      <c r="K9" s="9">
        <f>IFERROR(J9/D9,0)</f>
        <v>0.32663344433834834</v>
      </c>
      <c r="M9" s="5">
        <f>SUMIFS('Spotlight Data Sheet Summary'!D:D,'Spotlight Data Sheet Summary'!$C:$C,$A9,'Spotlight Data Sheet Summary'!$A:$A,2020)</f>
        <v>0</v>
      </c>
      <c r="N9" s="5">
        <f>SUMIFS('Spotlight Data Sheet Summary'!E:E,'Spotlight Data Sheet Summary'!$C:$C,$A9,'Spotlight Data Sheet Summary'!$A:$A,2020)</f>
        <v>139536</v>
      </c>
      <c r="O9" s="5">
        <f>SUM(M9:N9)</f>
        <v>139536</v>
      </c>
    </row>
    <row r="10" spans="1:15" ht="15.75" customHeight="1" x14ac:dyDescent="0.15">
      <c r="A10" s="3"/>
      <c r="B10" s="5"/>
      <c r="C10" s="5"/>
      <c r="D10" s="5"/>
      <c r="F10" s="5"/>
      <c r="G10" s="5"/>
      <c r="H10" s="5"/>
      <c r="M10" s="5"/>
      <c r="N10" s="5"/>
      <c r="O10" s="5"/>
    </row>
    <row r="11" spans="1:15" ht="15.75" customHeight="1" x14ac:dyDescent="0.15">
      <c r="A11" s="3" t="s">
        <v>7</v>
      </c>
      <c r="B11" s="5"/>
      <c r="C11" s="5"/>
      <c r="D11" s="5"/>
      <c r="F11" s="5"/>
      <c r="G11" s="5"/>
      <c r="H11" s="5"/>
      <c r="M11" s="5"/>
      <c r="N11" s="5"/>
      <c r="O11" s="5"/>
    </row>
    <row r="12" spans="1:15" ht="15.75" customHeight="1" x14ac:dyDescent="0.15">
      <c r="A12" s="4" t="s">
        <v>22</v>
      </c>
      <c r="B12" s="5">
        <f>SUMIFS('Spotlight Data Sheet Summary'!D:D,'Spotlight Data Sheet Summary'!$C:$C,$A12,'Spotlight Data Sheet Summary'!$A:$A,2018)</f>
        <v>0</v>
      </c>
      <c r="C12" s="5">
        <f>SUMIFS('Spotlight Data Sheet Summary'!E:E,'Spotlight Data Sheet Summary'!$C:$C,$A12,'Spotlight Data Sheet Summary'!$A:$A,2018)</f>
        <v>302649</v>
      </c>
      <c r="D12" s="5">
        <f t="shared" ref="D12:D16" si="0">SUM(B12:C12)</f>
        <v>302649</v>
      </c>
      <c r="F12" s="5">
        <f>SUMIFS('Spotlight Data Sheet Summary'!D:D,'Spotlight Data Sheet Summary'!$C:$C,$A12,'Spotlight Data Sheet Summary'!$A:$A,2019)</f>
        <v>0</v>
      </c>
      <c r="G12" s="5">
        <f>SUMIFS('Spotlight Data Sheet Summary'!E:E,'Spotlight Data Sheet Summary'!$C:$C,$A12,'Spotlight Data Sheet Summary'!$A:$A,2019)</f>
        <v>0</v>
      </c>
      <c r="H12" s="5">
        <f t="shared" ref="H12:H16" si="1">SUM(F12:G12)</f>
        <v>0</v>
      </c>
      <c r="J12" s="5">
        <f t="shared" ref="J12:J17" si="2">H12-D12</f>
        <v>-302649</v>
      </c>
      <c r="K12" s="9">
        <f t="shared" ref="K12:K17" si="3">IFERROR(J12/D12,0)</f>
        <v>-1</v>
      </c>
      <c r="M12" s="5">
        <f>SUMIFS('Spotlight Data Sheet Summary'!D:D,'Spotlight Data Sheet Summary'!$C:$C,$A12,'Spotlight Data Sheet Summary'!$A:$A,2020)</f>
        <v>0</v>
      </c>
      <c r="N12" s="5">
        <f>SUMIFS('Spotlight Data Sheet Summary'!E:E,'Spotlight Data Sheet Summary'!$C:$C,$A12,'Spotlight Data Sheet Summary'!$A:$A,2020)</f>
        <v>0</v>
      </c>
      <c r="O12" s="5">
        <f t="shared" ref="O12:O16" si="4">SUM(M12:N12)</f>
        <v>0</v>
      </c>
    </row>
    <row r="13" spans="1:15" ht="15.75" customHeight="1" x14ac:dyDescent="0.15">
      <c r="A13" s="4" t="s">
        <v>23</v>
      </c>
      <c r="B13" s="5">
        <f>SUMIFS('Spotlight Data Sheet Summary'!D:D,'Spotlight Data Sheet Summary'!$C:$C,$A13,'Spotlight Data Sheet Summary'!$A:$A,2018)</f>
        <v>0</v>
      </c>
      <c r="C13" s="5">
        <f>SUMIFS('Spotlight Data Sheet Summary'!E:E,'Spotlight Data Sheet Summary'!$C:$C,$A13,'Spotlight Data Sheet Summary'!$A:$A,2018)</f>
        <v>0</v>
      </c>
      <c r="D13" s="5">
        <f t="shared" si="0"/>
        <v>0</v>
      </c>
      <c r="F13" s="5">
        <f>SUMIFS('Spotlight Data Sheet Summary'!D:D,'Spotlight Data Sheet Summary'!$C:$C,$A13,'Spotlight Data Sheet Summary'!$A:$A,2019)</f>
        <v>0</v>
      </c>
      <c r="G13" s="5">
        <f>SUMIFS('Spotlight Data Sheet Summary'!E:E,'Spotlight Data Sheet Summary'!$C:$C,$A13,'Spotlight Data Sheet Summary'!$A:$A,2019)</f>
        <v>0</v>
      </c>
      <c r="H13" s="5">
        <f t="shared" si="1"/>
        <v>0</v>
      </c>
      <c r="J13" s="5">
        <f t="shared" si="2"/>
        <v>0</v>
      </c>
      <c r="K13" s="9">
        <f t="shared" si="3"/>
        <v>0</v>
      </c>
      <c r="M13" s="5">
        <f>SUMIFS('Spotlight Data Sheet Summary'!D:D,'Spotlight Data Sheet Summary'!$C:$C,$A13,'Spotlight Data Sheet Summary'!$A:$A,2020)</f>
        <v>0</v>
      </c>
      <c r="N13" s="5">
        <f>SUMIFS('Spotlight Data Sheet Summary'!E:E,'Spotlight Data Sheet Summary'!$C:$C,$A13,'Spotlight Data Sheet Summary'!$A:$A,2020)</f>
        <v>0</v>
      </c>
      <c r="O13" s="5">
        <f t="shared" si="4"/>
        <v>0</v>
      </c>
    </row>
    <row r="14" spans="1:15" ht="15.75" customHeight="1" x14ac:dyDescent="0.15">
      <c r="A14" s="4" t="s">
        <v>24</v>
      </c>
      <c r="B14" s="5">
        <f>SUMIFS('Spotlight Data Sheet Summary'!D:D,'Spotlight Data Sheet Summary'!$C:$C,$A14,'Spotlight Data Sheet Summary'!$A:$A,2018)</f>
        <v>0</v>
      </c>
      <c r="C14" s="5">
        <f>SUMIFS('Spotlight Data Sheet Summary'!E:E,'Spotlight Data Sheet Summary'!$C:$C,$A14,'Spotlight Data Sheet Summary'!$A:$A,2018)</f>
        <v>0</v>
      </c>
      <c r="D14" s="5">
        <f t="shared" si="0"/>
        <v>0</v>
      </c>
      <c r="F14" s="5">
        <f>SUMIFS('Spotlight Data Sheet Summary'!D:D,'Spotlight Data Sheet Summary'!$C:$C,$A14,'Spotlight Data Sheet Summary'!$A:$A,2019)</f>
        <v>0</v>
      </c>
      <c r="G14" s="5">
        <f>SUMIFS('Spotlight Data Sheet Summary'!E:E,'Spotlight Data Sheet Summary'!$C:$C,$A14,'Spotlight Data Sheet Summary'!$A:$A,2019)</f>
        <v>412625</v>
      </c>
      <c r="H14" s="5">
        <f t="shared" si="1"/>
        <v>412625</v>
      </c>
      <c r="J14" s="5">
        <f t="shared" si="2"/>
        <v>412625</v>
      </c>
      <c r="K14" s="9">
        <f t="shared" si="3"/>
        <v>0</v>
      </c>
      <c r="M14" s="5">
        <f>SUMIFS('Spotlight Data Sheet Summary'!D:D,'Spotlight Data Sheet Summary'!$C:$C,$A14,'Spotlight Data Sheet Summary'!$A:$A,2020)</f>
        <v>0</v>
      </c>
      <c r="N14" s="5">
        <f>SUMIFS('Spotlight Data Sheet Summary'!E:E,'Spotlight Data Sheet Summary'!$C:$C,$A14,'Spotlight Data Sheet Summary'!$A:$A,2020)</f>
        <v>54752</v>
      </c>
      <c r="O14" s="5">
        <f t="shared" si="4"/>
        <v>54752</v>
      </c>
    </row>
    <row r="15" spans="1:15" ht="15.75" customHeight="1" x14ac:dyDescent="0.15">
      <c r="A15" s="4" t="s">
        <v>25</v>
      </c>
      <c r="B15" s="5">
        <f>SUMIFS('Spotlight Data Sheet Summary'!D:D,'Spotlight Data Sheet Summary'!$C:$C,$A15,'Spotlight Data Sheet Summary'!$A:$A,2018)</f>
        <v>0</v>
      </c>
      <c r="C15" s="5">
        <f>SUMIFS('Spotlight Data Sheet Summary'!E:E,'Spotlight Data Sheet Summary'!$C:$C,$A15,'Spotlight Data Sheet Summary'!$A:$A,2018)</f>
        <v>0</v>
      </c>
      <c r="D15" s="5">
        <f t="shared" si="0"/>
        <v>0</v>
      </c>
      <c r="F15" s="5">
        <f>SUMIFS('Spotlight Data Sheet Summary'!D:D,'Spotlight Data Sheet Summary'!$C:$C,$A15,'Spotlight Data Sheet Summary'!$A:$A,2019)</f>
        <v>0</v>
      </c>
      <c r="G15" s="5">
        <f>SUMIFS('Spotlight Data Sheet Summary'!E:E,'Spotlight Data Sheet Summary'!$C:$C,$A15,'Spotlight Data Sheet Summary'!$A:$A,2019)</f>
        <v>192111</v>
      </c>
      <c r="H15" s="5">
        <f t="shared" si="1"/>
        <v>192111</v>
      </c>
      <c r="J15" s="5">
        <f t="shared" si="2"/>
        <v>192111</v>
      </c>
      <c r="K15" s="9">
        <f t="shared" si="3"/>
        <v>0</v>
      </c>
      <c r="M15" s="5">
        <f>SUMIFS('Spotlight Data Sheet Summary'!D:D,'Spotlight Data Sheet Summary'!$C:$C,$A15,'Spotlight Data Sheet Summary'!$A:$A,2020)</f>
        <v>0</v>
      </c>
      <c r="N15" s="5">
        <f>SUMIFS('Spotlight Data Sheet Summary'!E:E,'Spotlight Data Sheet Summary'!$C:$C,$A15,'Spotlight Data Sheet Summary'!$A:$A,2020)</f>
        <v>9921</v>
      </c>
      <c r="O15" s="5">
        <f t="shared" si="4"/>
        <v>9921</v>
      </c>
    </row>
    <row r="16" spans="1:15" ht="15.75" customHeight="1" x14ac:dyDescent="0.15">
      <c r="A16" s="4" t="s">
        <v>26</v>
      </c>
      <c r="B16" s="5">
        <f>SUMIFS('Spotlight Data Sheet Summary'!D:D,'Spotlight Data Sheet Summary'!$C:$C,$A16,'Spotlight Data Sheet Summary'!$A:$A,2018)</f>
        <v>0</v>
      </c>
      <c r="C16" s="5">
        <f>SUMIFS('Spotlight Data Sheet Summary'!E:E,'Spotlight Data Sheet Summary'!$C:$C,$A16,'Spotlight Data Sheet Summary'!$A:$A,2018)</f>
        <v>0</v>
      </c>
      <c r="D16" s="5">
        <f t="shared" si="0"/>
        <v>0</v>
      </c>
      <c r="F16" s="5">
        <f>SUMIFS('Spotlight Data Sheet Summary'!D:D,'Spotlight Data Sheet Summary'!$C:$C,$A16,'Spotlight Data Sheet Summary'!$A:$A,2019)</f>
        <v>198</v>
      </c>
      <c r="G16" s="5">
        <f>SUMIFS('Spotlight Data Sheet Summary'!E:E,'Spotlight Data Sheet Summary'!$C:$C,$A16,'Spotlight Data Sheet Summary'!$A:$A,2019)</f>
        <v>35341</v>
      </c>
      <c r="H16" s="5">
        <f t="shared" si="1"/>
        <v>35539</v>
      </c>
      <c r="J16" s="5">
        <f t="shared" si="2"/>
        <v>35539</v>
      </c>
      <c r="K16" s="9">
        <f t="shared" si="3"/>
        <v>0</v>
      </c>
      <c r="M16" s="5">
        <f>SUMIFS('Spotlight Data Sheet Summary'!D:D,'Spotlight Data Sheet Summary'!$C:$C,$A16,'Spotlight Data Sheet Summary'!$A:$A,2020)</f>
        <v>0</v>
      </c>
      <c r="N16" s="5">
        <f>SUMIFS('Spotlight Data Sheet Summary'!E:E,'Spotlight Data Sheet Summary'!$C:$C,$A16,'Spotlight Data Sheet Summary'!$A:$A,2020)</f>
        <v>2749</v>
      </c>
      <c r="O16" s="5">
        <f t="shared" si="4"/>
        <v>2749</v>
      </c>
    </row>
    <row r="17" spans="1:15" ht="15.75" customHeight="1" x14ac:dyDescent="0.15">
      <c r="A17" s="3" t="s">
        <v>27</v>
      </c>
      <c r="B17" s="6">
        <f t="shared" ref="B17:D17" si="5">SUM(B12:B16)</f>
        <v>0</v>
      </c>
      <c r="C17" s="6">
        <f t="shared" si="5"/>
        <v>302649</v>
      </c>
      <c r="D17" s="6">
        <f t="shared" si="5"/>
        <v>302649</v>
      </c>
      <c r="F17" s="6">
        <f t="shared" ref="F17:H17" si="6">SUM(F12:F16)</f>
        <v>198</v>
      </c>
      <c r="G17" s="6">
        <f t="shared" si="6"/>
        <v>640077</v>
      </c>
      <c r="H17" s="6">
        <f t="shared" si="6"/>
        <v>640275</v>
      </c>
      <c r="J17" s="5">
        <f t="shared" si="2"/>
        <v>337626</v>
      </c>
      <c r="K17" s="9">
        <f t="shared" si="3"/>
        <v>1.115569521128436</v>
      </c>
      <c r="M17" s="6">
        <f t="shared" ref="M17:O17" si="7">SUM(M12:M16)</f>
        <v>0</v>
      </c>
      <c r="N17" s="6">
        <f t="shared" si="7"/>
        <v>67422</v>
      </c>
      <c r="O17" s="6">
        <f t="shared" si="7"/>
        <v>67422</v>
      </c>
    </row>
    <row r="18" spans="1:15" ht="15.75" customHeight="1" x14ac:dyDescent="0.15">
      <c r="A18" s="3"/>
      <c r="B18" s="5"/>
      <c r="C18" s="5"/>
      <c r="D18" s="5"/>
      <c r="F18" s="5"/>
      <c r="G18" s="5"/>
      <c r="H18" s="5"/>
      <c r="M18" s="5"/>
      <c r="N18" s="5"/>
      <c r="O18" s="5"/>
    </row>
    <row r="19" spans="1:15" ht="15.75" customHeight="1" x14ac:dyDescent="0.15">
      <c r="A19" s="3" t="s">
        <v>8</v>
      </c>
      <c r="B19" s="5"/>
      <c r="C19" s="5"/>
      <c r="D19" s="5"/>
      <c r="F19" s="5"/>
      <c r="G19" s="5"/>
      <c r="H19" s="5"/>
      <c r="M19" s="5"/>
      <c r="N19" s="5"/>
      <c r="O19" s="5"/>
    </row>
    <row r="20" spans="1:15" ht="15.75" customHeight="1" x14ac:dyDescent="0.15">
      <c r="A20" s="4" t="s">
        <v>28</v>
      </c>
      <c r="B20" s="5">
        <f>SUMIFS('Spotlight Data Sheet Summary'!D:D,'Spotlight Data Sheet Summary'!$C:$C,$A20,'Spotlight Data Sheet Summary'!$A:$A,2018)</f>
        <v>32</v>
      </c>
      <c r="C20" s="5">
        <f>SUMIFS('Spotlight Data Sheet Summary'!E:E,'Spotlight Data Sheet Summary'!$C:$C,$A20,'Spotlight Data Sheet Summary'!$A:$A,2018)</f>
        <v>8893</v>
      </c>
      <c r="D20" s="5">
        <f t="shared" ref="D20:D22" si="8">SUM(B20:C20)</f>
        <v>8925</v>
      </c>
      <c r="F20" s="5">
        <f>SUMIFS('Spotlight Data Sheet Summary'!D:D,'Spotlight Data Sheet Summary'!$C:$C,$A20,'Spotlight Data Sheet Summary'!$A:$A,2019)</f>
        <v>0</v>
      </c>
      <c r="G20" s="5">
        <f>SUMIFS('Spotlight Data Sheet Summary'!E:E,'Spotlight Data Sheet Summary'!$C:$C,$A20,'Spotlight Data Sheet Summary'!$A:$A,2019)</f>
        <v>9196</v>
      </c>
      <c r="H20" s="5">
        <f t="shared" ref="H20:H22" si="9">SUM(F20:G20)</f>
        <v>9196</v>
      </c>
      <c r="J20" s="5">
        <f t="shared" ref="J20:J23" si="10">H20-D20</f>
        <v>271</v>
      </c>
      <c r="K20" s="9">
        <f t="shared" ref="K20:K23" si="11">IFERROR(J20/D20,0)</f>
        <v>3.0364145658263304E-2</v>
      </c>
      <c r="M20" s="5">
        <f>SUMIFS('Spotlight Data Sheet Summary'!D:D,'Spotlight Data Sheet Summary'!$C:$C,$A20,'Spotlight Data Sheet Summary'!$A:$A,2020)</f>
        <v>0</v>
      </c>
      <c r="N20" s="5">
        <f>SUMIFS('Spotlight Data Sheet Summary'!E:E,'Spotlight Data Sheet Summary'!$C:$C,$A20,'Spotlight Data Sheet Summary'!$A:$A,2020)</f>
        <v>1015</v>
      </c>
      <c r="O20" s="5">
        <f t="shared" ref="O20:O22" si="12">SUM(M20:N20)</f>
        <v>1015</v>
      </c>
    </row>
    <row r="21" spans="1:15" ht="15.75" customHeight="1" x14ac:dyDescent="0.15">
      <c r="A21" s="4" t="s">
        <v>29</v>
      </c>
      <c r="B21" s="5">
        <f>SUMIFS('Spotlight Data Sheet Summary'!D:D,'Spotlight Data Sheet Summary'!$C:$C,$A21,'Spotlight Data Sheet Summary'!$A:$A,2018)</f>
        <v>0</v>
      </c>
      <c r="C21" s="5">
        <f>SUMIFS('Spotlight Data Sheet Summary'!E:E,'Spotlight Data Sheet Summary'!$C:$C,$A21,'Spotlight Data Sheet Summary'!$A:$A,2018)</f>
        <v>19749</v>
      </c>
      <c r="D21" s="5">
        <f t="shared" si="8"/>
        <v>19749</v>
      </c>
      <c r="F21" s="5">
        <f>SUMIFS('Spotlight Data Sheet Summary'!D:D,'Spotlight Data Sheet Summary'!$C:$C,$A21,'Spotlight Data Sheet Summary'!$A:$A,2019)</f>
        <v>0</v>
      </c>
      <c r="G21" s="5">
        <f>SUMIFS('Spotlight Data Sheet Summary'!E:E,'Spotlight Data Sheet Summary'!$C:$C,$A21,'Spotlight Data Sheet Summary'!$A:$A,2019)</f>
        <v>28938</v>
      </c>
      <c r="H21" s="5">
        <f t="shared" si="9"/>
        <v>28938</v>
      </c>
      <c r="J21" s="5">
        <f t="shared" si="10"/>
        <v>9189</v>
      </c>
      <c r="K21" s="9">
        <f t="shared" si="11"/>
        <v>0.46528938174084766</v>
      </c>
      <c r="M21" s="5">
        <f>SUMIFS('Spotlight Data Sheet Summary'!D:D,'Spotlight Data Sheet Summary'!$C:$C,$A21,'Spotlight Data Sheet Summary'!$A:$A,2020)</f>
        <v>0</v>
      </c>
      <c r="N21" s="5">
        <f>SUMIFS('Spotlight Data Sheet Summary'!E:E,'Spotlight Data Sheet Summary'!$C:$C,$A21,'Spotlight Data Sheet Summary'!$A:$A,2020)</f>
        <v>4570</v>
      </c>
      <c r="O21" s="5">
        <f t="shared" si="12"/>
        <v>4570</v>
      </c>
    </row>
    <row r="22" spans="1:15" ht="15.75" customHeight="1" x14ac:dyDescent="0.15">
      <c r="A22" s="4" t="s">
        <v>30</v>
      </c>
      <c r="B22" s="5">
        <f>SUMIFS('Spotlight Data Sheet Summary'!D:D,'Spotlight Data Sheet Summary'!$C:$C,$A22,'Spotlight Data Sheet Summary'!$A:$A,2018)</f>
        <v>49</v>
      </c>
      <c r="C22" s="5">
        <f>SUMIFS('Spotlight Data Sheet Summary'!E:E,'Spotlight Data Sheet Summary'!$C:$C,$A22,'Spotlight Data Sheet Summary'!$A:$A,2018)</f>
        <v>34957</v>
      </c>
      <c r="D22" s="5">
        <f t="shared" si="8"/>
        <v>35006</v>
      </c>
      <c r="F22" s="5">
        <f>SUMIFS('Spotlight Data Sheet Summary'!D:D,'Spotlight Data Sheet Summary'!$C:$C,$A22,'Spotlight Data Sheet Summary'!$A:$A,2019)</f>
        <v>0</v>
      </c>
      <c r="G22" s="5">
        <f>SUMIFS('Spotlight Data Sheet Summary'!E:E,'Spotlight Data Sheet Summary'!$C:$C,$A22,'Spotlight Data Sheet Summary'!$A:$A,2019)</f>
        <v>25015</v>
      </c>
      <c r="H22" s="5">
        <f t="shared" si="9"/>
        <v>25015</v>
      </c>
      <c r="J22" s="5">
        <f t="shared" si="10"/>
        <v>-9991</v>
      </c>
      <c r="K22" s="9">
        <f t="shared" si="11"/>
        <v>-0.28540821573444553</v>
      </c>
      <c r="M22" s="5">
        <f>SUMIFS('Spotlight Data Sheet Summary'!D:D,'Spotlight Data Sheet Summary'!$C:$C,$A22,'Spotlight Data Sheet Summary'!$A:$A,2020)</f>
        <v>0</v>
      </c>
      <c r="N22" s="5">
        <f>SUMIFS('Spotlight Data Sheet Summary'!E:E,'Spotlight Data Sheet Summary'!$C:$C,$A22,'Spotlight Data Sheet Summary'!$A:$A,2020)</f>
        <v>1867</v>
      </c>
      <c r="O22" s="5">
        <f t="shared" si="12"/>
        <v>1867</v>
      </c>
    </row>
    <row r="23" spans="1:15" ht="15.75" customHeight="1" x14ac:dyDescent="0.15">
      <c r="A23" s="3" t="s">
        <v>31</v>
      </c>
      <c r="B23" s="6">
        <f t="shared" ref="B23:D23" si="13">SUM(B20:B22)</f>
        <v>81</v>
      </c>
      <c r="C23" s="6">
        <f t="shared" si="13"/>
        <v>63599</v>
      </c>
      <c r="D23" s="6">
        <f t="shared" si="13"/>
        <v>63680</v>
      </c>
      <c r="F23" s="6">
        <f t="shared" ref="F23:H23" si="14">SUM(F20:F22)</f>
        <v>0</v>
      </c>
      <c r="G23" s="6">
        <f t="shared" si="14"/>
        <v>63149</v>
      </c>
      <c r="H23" s="6">
        <f t="shared" si="14"/>
        <v>63149</v>
      </c>
      <c r="J23" s="5">
        <f t="shared" si="10"/>
        <v>-531</v>
      </c>
      <c r="K23" s="9">
        <f t="shared" si="11"/>
        <v>-8.3385678391959799E-3</v>
      </c>
      <c r="M23" s="6">
        <f t="shared" ref="M23:O23" si="15">SUM(M20:M22)</f>
        <v>0</v>
      </c>
      <c r="N23" s="6">
        <f t="shared" si="15"/>
        <v>7452</v>
      </c>
      <c r="O23" s="6">
        <f t="shared" si="15"/>
        <v>7452</v>
      </c>
    </row>
    <row r="24" spans="1:15" ht="15.75" customHeight="1" x14ac:dyDescent="0.15">
      <c r="A24" s="3"/>
      <c r="B24" s="5"/>
      <c r="C24" s="5"/>
      <c r="D24" s="5"/>
      <c r="F24" s="5"/>
      <c r="G24" s="5"/>
      <c r="H24" s="5"/>
      <c r="M24" s="5"/>
      <c r="N24" s="5"/>
      <c r="O24" s="5"/>
    </row>
    <row r="25" spans="1:15" ht="15.75" customHeight="1" x14ac:dyDescent="0.15">
      <c r="A25" s="3" t="s">
        <v>9</v>
      </c>
      <c r="B25" s="5"/>
      <c r="C25" s="5"/>
      <c r="D25" s="5"/>
      <c r="F25" s="5"/>
      <c r="G25" s="5"/>
      <c r="H25" s="5"/>
      <c r="M25" s="5"/>
      <c r="N25" s="5"/>
      <c r="O25" s="5"/>
    </row>
    <row r="26" spans="1:15" ht="15.75" customHeight="1" x14ac:dyDescent="0.15">
      <c r="A26" s="4" t="s">
        <v>32</v>
      </c>
      <c r="B26" s="5">
        <f>SUMIFS('Spotlight Data Sheet Summary'!D:D,'Spotlight Data Sheet Summary'!$C:$C,$A26,'Spotlight Data Sheet Summary'!$A:$A,2018)</f>
        <v>0</v>
      </c>
      <c r="C26" s="5">
        <f>SUMIFS('Spotlight Data Sheet Summary'!E:E,'Spotlight Data Sheet Summary'!$C:$C,$A26,'Spotlight Data Sheet Summary'!$A:$A,2018)</f>
        <v>43803</v>
      </c>
      <c r="D26" s="6">
        <f>SUM(B26:C26)</f>
        <v>43803</v>
      </c>
      <c r="F26" s="5">
        <f>SUMIFS('Spotlight Data Sheet Summary'!D:D,'Spotlight Data Sheet Summary'!$C:$C,$A26,'Spotlight Data Sheet Summary'!$A:$A,2019)</f>
        <v>0</v>
      </c>
      <c r="G26" s="5">
        <f>SUMIFS('Spotlight Data Sheet Summary'!E:E,'Spotlight Data Sheet Summary'!$C:$C,$A26,'Spotlight Data Sheet Summary'!$A:$A,2019)</f>
        <v>146891</v>
      </c>
      <c r="H26" s="6">
        <f>SUM(F26:G26)</f>
        <v>146891</v>
      </c>
      <c r="J26" s="5">
        <f>H26-D26</f>
        <v>103088</v>
      </c>
      <c r="K26" s="9">
        <f>IFERROR(J26/D26,0)</f>
        <v>2.3534461109969635</v>
      </c>
      <c r="M26" s="5">
        <f>SUMIFS('Spotlight Data Sheet Summary'!D:D,'Spotlight Data Sheet Summary'!$C:$C,$A26,'Spotlight Data Sheet Summary'!$A:$A,2020)</f>
        <v>0</v>
      </c>
      <c r="N26" s="5">
        <f>SUMIFS('Spotlight Data Sheet Summary'!E:E,'Spotlight Data Sheet Summary'!$C:$C,$A26,'Spotlight Data Sheet Summary'!$A:$A,2020)</f>
        <v>4596</v>
      </c>
      <c r="O26" s="6">
        <f>SUM(M26:N26)</f>
        <v>4596</v>
      </c>
    </row>
    <row r="27" spans="1:15" ht="15.75" customHeight="1" x14ac:dyDescent="0.15">
      <c r="A27" s="3"/>
      <c r="B27" s="5"/>
      <c r="C27" s="5"/>
      <c r="D27" s="5"/>
      <c r="F27" s="5"/>
      <c r="G27" s="5"/>
      <c r="H27" s="5"/>
      <c r="M27" s="5"/>
      <c r="N27" s="5"/>
      <c r="O27" s="5"/>
    </row>
    <row r="28" spans="1:15" ht="15.75" customHeight="1" x14ac:dyDescent="0.15">
      <c r="A28" s="3" t="s">
        <v>10</v>
      </c>
      <c r="B28" s="5"/>
      <c r="C28" s="5"/>
      <c r="D28" s="5"/>
      <c r="F28" s="5"/>
      <c r="G28" s="5"/>
      <c r="H28" s="5"/>
      <c r="M28" s="5"/>
      <c r="N28" s="5"/>
      <c r="O28" s="5"/>
    </row>
    <row r="29" spans="1:15" ht="15.75" customHeight="1" x14ac:dyDescent="0.15">
      <c r="A29" s="4" t="s">
        <v>33</v>
      </c>
      <c r="B29" s="5">
        <f>SUMIFS('Spotlight Data Sheet Summary'!D:D,'Spotlight Data Sheet Summary'!$C:$C,$A29,'Spotlight Data Sheet Summary'!$A:$A,2018)</f>
        <v>0</v>
      </c>
      <c r="C29" s="5">
        <f>SUMIFS('Spotlight Data Sheet Summary'!E:E,'Spotlight Data Sheet Summary'!$C:$C,$A29,'Spotlight Data Sheet Summary'!$A:$A,2018)</f>
        <v>170122</v>
      </c>
      <c r="D29" s="5">
        <f t="shared" ref="D29:D31" si="16">SUM(B29:C29)</f>
        <v>170122</v>
      </c>
      <c r="F29" s="5">
        <f>SUMIFS('Spotlight Data Sheet Summary'!D:D,'Spotlight Data Sheet Summary'!$C:$C,$A29,'Spotlight Data Sheet Summary'!$A:$A,2019)</f>
        <v>0</v>
      </c>
      <c r="G29" s="5">
        <f>SUMIFS('Spotlight Data Sheet Summary'!E:E,'Spotlight Data Sheet Summary'!$C:$C,$A29,'Spotlight Data Sheet Summary'!$A:$A,2019)</f>
        <v>372863</v>
      </c>
      <c r="H29" s="5">
        <f t="shared" ref="H29:H31" si="17">SUM(F29:G29)</f>
        <v>372863</v>
      </c>
      <c r="J29" s="5">
        <f t="shared" ref="J29:J32" si="18">H29-D29</f>
        <v>202741</v>
      </c>
      <c r="K29" s="9">
        <f t="shared" ref="K29:K32" si="19">IFERROR(J29/D29,0)</f>
        <v>1.1917388697522955</v>
      </c>
      <c r="M29" s="5">
        <f>SUMIFS('Spotlight Data Sheet Summary'!D:D,'Spotlight Data Sheet Summary'!$C:$C,$A29,'Spotlight Data Sheet Summary'!$A:$A,2020)</f>
        <v>0</v>
      </c>
      <c r="N29" s="5">
        <f>SUMIFS('Spotlight Data Sheet Summary'!E:E,'Spotlight Data Sheet Summary'!$C:$C,$A29,'Spotlight Data Sheet Summary'!$A:$A,2020)</f>
        <v>72806</v>
      </c>
      <c r="O29" s="5">
        <f t="shared" ref="O29:O31" si="20">SUM(M29:N29)</f>
        <v>72806</v>
      </c>
    </row>
    <row r="30" spans="1:15" ht="15.75" customHeight="1" x14ac:dyDescent="0.15">
      <c r="A30" s="4" t="s">
        <v>34</v>
      </c>
      <c r="B30" s="5">
        <f>SUMIFS('Spotlight Data Sheet Summary'!D:D,'Spotlight Data Sheet Summary'!$C:$C,$A30,'Spotlight Data Sheet Summary'!$A:$A,2018)</f>
        <v>0</v>
      </c>
      <c r="C30" s="5">
        <f>SUMIFS('Spotlight Data Sheet Summary'!E:E,'Spotlight Data Sheet Summary'!$C:$C,$A30,'Spotlight Data Sheet Summary'!$A:$A,2018)</f>
        <v>14796</v>
      </c>
      <c r="D30" s="5">
        <f t="shared" si="16"/>
        <v>14796</v>
      </c>
      <c r="F30" s="5">
        <f>SUMIFS('Spotlight Data Sheet Summary'!D:D,'Spotlight Data Sheet Summary'!$C:$C,$A30,'Spotlight Data Sheet Summary'!$A:$A,2019)</f>
        <v>0</v>
      </c>
      <c r="G30" s="5">
        <f>SUMIFS('Spotlight Data Sheet Summary'!E:E,'Spotlight Data Sheet Summary'!$C:$C,$A30,'Spotlight Data Sheet Summary'!$A:$A,2019)</f>
        <v>40524</v>
      </c>
      <c r="H30" s="5">
        <f t="shared" si="17"/>
        <v>40524</v>
      </c>
      <c r="J30" s="5">
        <f t="shared" si="18"/>
        <v>25728</v>
      </c>
      <c r="K30" s="9">
        <f t="shared" si="19"/>
        <v>1.7388483373884833</v>
      </c>
      <c r="M30" s="5">
        <f>SUMIFS('Spotlight Data Sheet Summary'!D:D,'Spotlight Data Sheet Summary'!$C:$C,$A30,'Spotlight Data Sheet Summary'!$A:$A,2020)</f>
        <v>0</v>
      </c>
      <c r="N30" s="5">
        <f>SUMIFS('Spotlight Data Sheet Summary'!E:E,'Spotlight Data Sheet Summary'!$C:$C,$A30,'Spotlight Data Sheet Summary'!$A:$A,2020)</f>
        <v>2224</v>
      </c>
      <c r="O30" s="5">
        <f t="shared" si="20"/>
        <v>2224</v>
      </c>
    </row>
    <row r="31" spans="1:15" ht="15.75" customHeight="1" x14ac:dyDescent="0.15">
      <c r="A31" s="4" t="s">
        <v>35</v>
      </c>
      <c r="B31" s="5">
        <f>SUMIFS('Spotlight Data Sheet Summary'!D:D,'Spotlight Data Sheet Summary'!$C:$C,$A31,'Spotlight Data Sheet Summary'!$A:$A,2018)</f>
        <v>0</v>
      </c>
      <c r="C31" s="5">
        <f>SUMIFS('Spotlight Data Sheet Summary'!E:E,'Spotlight Data Sheet Summary'!$C:$C,$A31,'Spotlight Data Sheet Summary'!$A:$A,2018)</f>
        <v>35732</v>
      </c>
      <c r="D31" s="5">
        <f t="shared" si="16"/>
        <v>35732</v>
      </c>
      <c r="F31" s="5">
        <f>SUMIFS('Spotlight Data Sheet Summary'!D:D,'Spotlight Data Sheet Summary'!$C:$C,$A31,'Spotlight Data Sheet Summary'!$A:$A,2019)</f>
        <v>0</v>
      </c>
      <c r="G31" s="5">
        <f>SUMIFS('Spotlight Data Sheet Summary'!E:E,'Spotlight Data Sheet Summary'!$C:$C,$A31,'Spotlight Data Sheet Summary'!$A:$A,2019)</f>
        <v>69666</v>
      </c>
      <c r="H31" s="5">
        <f t="shared" si="17"/>
        <v>69666</v>
      </c>
      <c r="J31" s="5">
        <f t="shared" si="18"/>
        <v>33934</v>
      </c>
      <c r="K31" s="9">
        <f t="shared" si="19"/>
        <v>0.94968095824471066</v>
      </c>
      <c r="M31" s="5">
        <f>SUMIFS('Spotlight Data Sheet Summary'!D:D,'Spotlight Data Sheet Summary'!$C:$C,$A31,'Spotlight Data Sheet Summary'!$A:$A,2020)</f>
        <v>0</v>
      </c>
      <c r="N31" s="5">
        <f>SUMIFS('Spotlight Data Sheet Summary'!E:E,'Spotlight Data Sheet Summary'!$C:$C,$A31,'Spotlight Data Sheet Summary'!$A:$A,2020)</f>
        <v>0</v>
      </c>
      <c r="O31" s="5">
        <f t="shared" si="20"/>
        <v>0</v>
      </c>
    </row>
    <row r="32" spans="1:15" ht="15.75" customHeight="1" x14ac:dyDescent="0.15">
      <c r="A32" s="3" t="s">
        <v>36</v>
      </c>
      <c r="B32" s="6">
        <f t="shared" ref="B32:D32" si="21">SUM(B29:B31)</f>
        <v>0</v>
      </c>
      <c r="C32" s="6">
        <f t="shared" si="21"/>
        <v>220650</v>
      </c>
      <c r="D32" s="6">
        <f t="shared" si="21"/>
        <v>220650</v>
      </c>
      <c r="F32" s="6">
        <f t="shared" ref="F32:H32" si="22">SUM(F29:F31)</f>
        <v>0</v>
      </c>
      <c r="G32" s="6">
        <f t="shared" si="22"/>
        <v>483053</v>
      </c>
      <c r="H32" s="6">
        <f t="shared" si="22"/>
        <v>483053</v>
      </c>
      <c r="J32" s="5">
        <f t="shared" si="18"/>
        <v>262403</v>
      </c>
      <c r="K32" s="9">
        <f t="shared" si="19"/>
        <v>1.1892272830274191</v>
      </c>
      <c r="M32" s="6">
        <f t="shared" ref="M32:O32" si="23">SUM(M29:M31)</f>
        <v>0</v>
      </c>
      <c r="N32" s="6">
        <f t="shared" si="23"/>
        <v>75030</v>
      </c>
      <c r="O32" s="6">
        <f t="shared" si="23"/>
        <v>75030</v>
      </c>
    </row>
    <row r="33" spans="1:15" ht="15.75" customHeight="1" x14ac:dyDescent="0.15">
      <c r="A33" s="3"/>
      <c r="B33" s="5"/>
      <c r="C33" s="5"/>
      <c r="D33" s="5"/>
      <c r="F33" s="5"/>
      <c r="G33" s="5"/>
      <c r="H33" s="5"/>
      <c r="M33" s="5"/>
      <c r="N33" s="5"/>
      <c r="O33" s="5"/>
    </row>
    <row r="34" spans="1:15" ht="15.75" customHeight="1" x14ac:dyDescent="0.15">
      <c r="A34" s="3" t="s">
        <v>11</v>
      </c>
      <c r="B34" s="5"/>
      <c r="C34" s="5"/>
      <c r="D34" s="5"/>
      <c r="F34" s="5"/>
      <c r="G34" s="5"/>
      <c r="H34" s="5"/>
      <c r="M34" s="5"/>
      <c r="N34" s="5"/>
      <c r="O34" s="5"/>
    </row>
    <row r="35" spans="1:15" ht="15.75" customHeight="1" x14ac:dyDescent="0.15">
      <c r="A35" s="4" t="s">
        <v>37</v>
      </c>
      <c r="B35" s="5">
        <f>SUMIFS('Spotlight Data Sheet Summary'!D:D,'Spotlight Data Sheet Summary'!$C:$C,$A35,'Spotlight Data Sheet Summary'!$A:$A,2018)</f>
        <v>273600</v>
      </c>
      <c r="C35" s="5">
        <f>SUMIFS('Spotlight Data Sheet Summary'!E:E,'Spotlight Data Sheet Summary'!$C:$C,$A35,'Spotlight Data Sheet Summary'!$A:$A,2018)</f>
        <v>0</v>
      </c>
      <c r="D35" s="5">
        <f t="shared" ref="D35:D38" si="24">SUM(B35:C35)</f>
        <v>273600</v>
      </c>
      <c r="F35" s="5">
        <f>SUMIFS('Spotlight Data Sheet Summary'!D:D,'Spotlight Data Sheet Summary'!$C:$C,$A35,'Spotlight Data Sheet Summary'!$A:$A,2019)</f>
        <v>242250</v>
      </c>
      <c r="G35" s="5">
        <f>SUMIFS('Spotlight Data Sheet Summary'!E:E,'Spotlight Data Sheet Summary'!$C:$C,$A35,'Spotlight Data Sheet Summary'!$A:$A,2019)</f>
        <v>0</v>
      </c>
      <c r="H35" s="5">
        <f t="shared" ref="H35:H38" si="25">SUM(F35:G35)</f>
        <v>242250</v>
      </c>
      <c r="J35" s="5">
        <f t="shared" ref="J35:J39" si="26">H35-D35</f>
        <v>-31350</v>
      </c>
      <c r="K35" s="9">
        <f t="shared" ref="K35:K39" si="27">IFERROR(J35/D35,0)</f>
        <v>-0.11458333333333333</v>
      </c>
      <c r="M35" s="5">
        <f>SUMIFS('Spotlight Data Sheet Summary'!D:D,'Spotlight Data Sheet Summary'!$C:$C,$A35,'Spotlight Data Sheet Summary'!$A:$A,2020)</f>
        <v>37200</v>
      </c>
      <c r="N35" s="5">
        <f>SUMIFS('Spotlight Data Sheet Summary'!E:E,'Spotlight Data Sheet Summary'!$C:$C,$A35,'Spotlight Data Sheet Summary'!$A:$A,2020)</f>
        <v>0</v>
      </c>
      <c r="O35" s="5">
        <f t="shared" ref="O35:O38" si="28">SUM(M35:N35)</f>
        <v>37200</v>
      </c>
    </row>
    <row r="36" spans="1:15" ht="15.75" customHeight="1" x14ac:dyDescent="0.15">
      <c r="A36" s="4" t="s">
        <v>38</v>
      </c>
      <c r="B36" s="5">
        <f>SUMIFS('Spotlight Data Sheet Summary'!D:D,'Spotlight Data Sheet Summary'!$C:$C,$A36,'Spotlight Data Sheet Summary'!$A:$A,2018)</f>
        <v>13954</v>
      </c>
      <c r="C36" s="5">
        <f>SUMIFS('Spotlight Data Sheet Summary'!E:E,'Spotlight Data Sheet Summary'!$C:$C,$A36,'Spotlight Data Sheet Summary'!$A:$A,2018)</f>
        <v>0</v>
      </c>
      <c r="D36" s="5">
        <f t="shared" si="24"/>
        <v>13954</v>
      </c>
      <c r="F36" s="5">
        <f>SUMIFS('Spotlight Data Sheet Summary'!D:D,'Spotlight Data Sheet Summary'!$C:$C,$A36,'Spotlight Data Sheet Summary'!$A:$A,2019)</f>
        <v>16652</v>
      </c>
      <c r="G36" s="5">
        <f>SUMIFS('Spotlight Data Sheet Summary'!E:E,'Spotlight Data Sheet Summary'!$C:$C,$A36,'Spotlight Data Sheet Summary'!$A:$A,2019)</f>
        <v>0</v>
      </c>
      <c r="H36" s="5">
        <f t="shared" si="25"/>
        <v>16652</v>
      </c>
      <c r="J36" s="5">
        <f t="shared" si="26"/>
        <v>2698</v>
      </c>
      <c r="K36" s="9">
        <f t="shared" si="27"/>
        <v>0.19334957718217</v>
      </c>
      <c r="M36" s="5">
        <f>SUMIFS('Spotlight Data Sheet Summary'!D:D,'Spotlight Data Sheet Summary'!$C:$C,$A36,'Spotlight Data Sheet Summary'!$A:$A,2020)</f>
        <v>2754</v>
      </c>
      <c r="N36" s="5">
        <f>SUMIFS('Spotlight Data Sheet Summary'!E:E,'Spotlight Data Sheet Summary'!$C:$C,$A36,'Spotlight Data Sheet Summary'!$A:$A,2020)</f>
        <v>0</v>
      </c>
      <c r="O36" s="5">
        <f t="shared" si="28"/>
        <v>2754</v>
      </c>
    </row>
    <row r="37" spans="1:15" ht="15.75" customHeight="1" x14ac:dyDescent="0.15">
      <c r="A37" s="4" t="s">
        <v>39</v>
      </c>
      <c r="B37" s="5">
        <f>SUMIFS('Spotlight Data Sheet Summary'!D:D,'Spotlight Data Sheet Summary'!$C:$C,$A37,'Spotlight Data Sheet Summary'!$A:$A,2018)</f>
        <v>819</v>
      </c>
      <c r="C37" s="5">
        <f>SUMIFS('Spotlight Data Sheet Summary'!E:E,'Spotlight Data Sheet Summary'!$C:$C,$A37,'Spotlight Data Sheet Summary'!$A:$A,2018)</f>
        <v>0</v>
      </c>
      <c r="D37" s="5">
        <f t="shared" si="24"/>
        <v>819</v>
      </c>
      <c r="F37" s="5">
        <f>SUMIFS('Spotlight Data Sheet Summary'!D:D,'Spotlight Data Sheet Summary'!$C:$C,$A37,'Spotlight Data Sheet Summary'!$A:$A,2019)</f>
        <v>1010</v>
      </c>
      <c r="G37" s="5">
        <f>SUMIFS('Spotlight Data Sheet Summary'!E:E,'Spotlight Data Sheet Summary'!$C:$C,$A37,'Spotlight Data Sheet Summary'!$A:$A,2019)</f>
        <v>0</v>
      </c>
      <c r="H37" s="5">
        <f t="shared" si="25"/>
        <v>1010</v>
      </c>
      <c r="J37" s="5">
        <f t="shared" si="26"/>
        <v>191</v>
      </c>
      <c r="K37" s="9">
        <f t="shared" si="27"/>
        <v>0.23321123321123322</v>
      </c>
      <c r="M37" s="5">
        <f>SUMIFS('Spotlight Data Sheet Summary'!D:D,'Spotlight Data Sheet Summary'!$C:$C,$A37,'Spotlight Data Sheet Summary'!$A:$A,2020)</f>
        <v>203</v>
      </c>
      <c r="N37" s="5">
        <f>SUMIFS('Spotlight Data Sheet Summary'!E:E,'Spotlight Data Sheet Summary'!$C:$C,$A37,'Spotlight Data Sheet Summary'!$A:$A,2020)</f>
        <v>0</v>
      </c>
      <c r="O37" s="5">
        <f t="shared" si="28"/>
        <v>203</v>
      </c>
    </row>
    <row r="38" spans="1:15" ht="15.75" customHeight="1" x14ac:dyDescent="0.15">
      <c r="A38" s="4" t="s">
        <v>40</v>
      </c>
      <c r="B38" s="5">
        <f>SUMIFS('Spotlight Data Sheet Summary'!D:D,'Spotlight Data Sheet Summary'!$C:$C,$A38,'Spotlight Data Sheet Summary'!$A:$A,2018)</f>
        <v>10800</v>
      </c>
      <c r="C38" s="5">
        <f>SUMIFS('Spotlight Data Sheet Summary'!E:E,'Spotlight Data Sheet Summary'!$C:$C,$A38,'Spotlight Data Sheet Summary'!$A:$A,2018)</f>
        <v>0</v>
      </c>
      <c r="D38" s="5">
        <f t="shared" si="24"/>
        <v>10800</v>
      </c>
      <c r="F38" s="5">
        <f>SUMIFS('Spotlight Data Sheet Summary'!D:D,'Spotlight Data Sheet Summary'!$C:$C,$A38,'Spotlight Data Sheet Summary'!$A:$A,2019)</f>
        <v>0</v>
      </c>
      <c r="G38" s="5">
        <f>SUMIFS('Spotlight Data Sheet Summary'!E:E,'Spotlight Data Sheet Summary'!$C:$C,$A38,'Spotlight Data Sheet Summary'!$A:$A,2019)</f>
        <v>0</v>
      </c>
      <c r="H38" s="5">
        <f t="shared" si="25"/>
        <v>0</v>
      </c>
      <c r="J38" s="5">
        <f t="shared" si="26"/>
        <v>-10800</v>
      </c>
      <c r="K38" s="9">
        <f t="shared" si="27"/>
        <v>-1</v>
      </c>
      <c r="M38" s="5">
        <f>SUMIFS('Spotlight Data Sheet Summary'!D:D,'Spotlight Data Sheet Summary'!$C:$C,$A38,'Spotlight Data Sheet Summary'!$A:$A,2020)</f>
        <v>0</v>
      </c>
      <c r="N38" s="5">
        <f>SUMIFS('Spotlight Data Sheet Summary'!E:E,'Spotlight Data Sheet Summary'!$C:$C,$A38,'Spotlight Data Sheet Summary'!$A:$A,2020)</f>
        <v>0</v>
      </c>
      <c r="O38" s="5">
        <f t="shared" si="28"/>
        <v>0</v>
      </c>
    </row>
    <row r="39" spans="1:15" ht="15.75" customHeight="1" x14ac:dyDescent="0.15">
      <c r="A39" s="3" t="s">
        <v>41</v>
      </c>
      <c r="B39" s="6">
        <f t="shared" ref="B39:D39" si="29">SUM(B35:B38)</f>
        <v>299173</v>
      </c>
      <c r="C39" s="6">
        <f t="shared" si="29"/>
        <v>0</v>
      </c>
      <c r="D39" s="6">
        <f t="shared" si="29"/>
        <v>299173</v>
      </c>
      <c r="F39" s="6">
        <f t="shared" ref="F39:H39" si="30">SUM(F35:F38)</f>
        <v>259912</v>
      </c>
      <c r="G39" s="6">
        <f t="shared" si="30"/>
        <v>0</v>
      </c>
      <c r="H39" s="6">
        <f t="shared" si="30"/>
        <v>259912</v>
      </c>
      <c r="J39" s="5">
        <f t="shared" si="26"/>
        <v>-39261</v>
      </c>
      <c r="K39" s="9">
        <f t="shared" si="27"/>
        <v>-0.13123176222453228</v>
      </c>
      <c r="M39" s="6">
        <f t="shared" ref="M39:O39" si="31">SUM(M35:M38)</f>
        <v>40157</v>
      </c>
      <c r="N39" s="6">
        <f t="shared" si="31"/>
        <v>0</v>
      </c>
      <c r="O39" s="6">
        <f t="shared" si="31"/>
        <v>40157</v>
      </c>
    </row>
    <row r="40" spans="1:15" ht="15.75" customHeight="1" x14ac:dyDescent="0.15">
      <c r="A40" s="3"/>
      <c r="B40" s="5"/>
      <c r="C40" s="5"/>
      <c r="D40" s="5"/>
      <c r="F40" s="5"/>
      <c r="G40" s="5"/>
      <c r="H40" s="5"/>
      <c r="M40" s="5"/>
      <c r="N40" s="5"/>
      <c r="O40" s="5"/>
    </row>
    <row r="41" spans="1:15" ht="15.75" customHeight="1" x14ac:dyDescent="0.15">
      <c r="A41" s="3" t="s">
        <v>12</v>
      </c>
      <c r="B41" s="5"/>
      <c r="C41" s="5"/>
      <c r="D41" s="5"/>
      <c r="F41" s="5"/>
      <c r="G41" s="5"/>
      <c r="H41" s="5"/>
      <c r="M41" s="5"/>
      <c r="N41" s="5"/>
      <c r="O41" s="5"/>
    </row>
    <row r="42" spans="1:15" ht="15.75" customHeight="1" x14ac:dyDescent="0.15">
      <c r="A42" s="4" t="s">
        <v>42</v>
      </c>
      <c r="B42" s="5">
        <f>SUMIFS('Spotlight Data Sheet Summary'!D:D,'Spotlight Data Sheet Summary'!$C:$C,$A42,'Spotlight Data Sheet Summary'!$A:$A,2018)</f>
        <v>93150</v>
      </c>
      <c r="C42" s="5">
        <f>SUMIFS('Spotlight Data Sheet Summary'!E:E,'Spotlight Data Sheet Summary'!$C:$C,$A42,'Spotlight Data Sheet Summary'!$A:$A,2018)</f>
        <v>0</v>
      </c>
      <c r="D42" s="5">
        <f t="shared" ref="D42:D44" si="32">SUM(B42:C42)</f>
        <v>93150</v>
      </c>
      <c r="F42" s="5">
        <f>SUMIFS('Spotlight Data Sheet Summary'!D:D,'Spotlight Data Sheet Summary'!$C:$C,$A42,'Spotlight Data Sheet Summary'!$A:$A,2019)</f>
        <v>230412</v>
      </c>
      <c r="G42" s="5">
        <f>SUMIFS('Spotlight Data Sheet Summary'!E:E,'Spotlight Data Sheet Summary'!$C:$C,$A42,'Spotlight Data Sheet Summary'!$A:$A,2019)</f>
        <v>0</v>
      </c>
      <c r="H42" s="5">
        <f t="shared" ref="H42:H44" si="33">SUM(F42:G42)</f>
        <v>230412</v>
      </c>
      <c r="J42" s="5">
        <f t="shared" ref="J42:J45" si="34">H42-D42</f>
        <v>137262</v>
      </c>
      <c r="K42" s="9">
        <f t="shared" ref="K42:K45" si="35">IFERROR(J42/D42,0)</f>
        <v>1.4735587761674718</v>
      </c>
      <c r="M42" s="5">
        <f>SUMIFS('Spotlight Data Sheet Summary'!D:D,'Spotlight Data Sheet Summary'!$C:$C,$A42,'Spotlight Data Sheet Summary'!$A:$A,2020)</f>
        <v>25406</v>
      </c>
      <c r="N42" s="5">
        <f>SUMIFS('Spotlight Data Sheet Summary'!E:E,'Spotlight Data Sheet Summary'!$C:$C,$A42,'Spotlight Data Sheet Summary'!$A:$A,2020)</f>
        <v>0</v>
      </c>
      <c r="O42" s="5">
        <f t="shared" ref="O42:O44" si="36">SUM(M42:N42)</f>
        <v>25406</v>
      </c>
    </row>
    <row r="43" spans="1:15" ht="15.75" customHeight="1" x14ac:dyDescent="0.15">
      <c r="A43" s="4" t="s">
        <v>43</v>
      </c>
      <c r="B43" s="5">
        <f>SUMIFS('Spotlight Data Sheet Summary'!D:D,'Spotlight Data Sheet Summary'!$C:$C,$A43,'Spotlight Data Sheet Summary'!$A:$A,2018)</f>
        <v>61967</v>
      </c>
      <c r="C43" s="5">
        <f>SUMIFS('Spotlight Data Sheet Summary'!E:E,'Spotlight Data Sheet Summary'!$C:$C,$A43,'Spotlight Data Sheet Summary'!$A:$A,2018)</f>
        <v>0</v>
      </c>
      <c r="D43" s="5">
        <f t="shared" si="32"/>
        <v>61967</v>
      </c>
      <c r="F43" s="5">
        <f>SUMIFS('Spotlight Data Sheet Summary'!D:D,'Spotlight Data Sheet Summary'!$C:$C,$A43,'Spotlight Data Sheet Summary'!$A:$A,2019)</f>
        <v>58285</v>
      </c>
      <c r="G43" s="5">
        <f>SUMIFS('Spotlight Data Sheet Summary'!E:E,'Spotlight Data Sheet Summary'!$C:$C,$A43,'Spotlight Data Sheet Summary'!$A:$A,2019)</f>
        <v>1623</v>
      </c>
      <c r="H43" s="5">
        <f t="shared" si="33"/>
        <v>59908</v>
      </c>
      <c r="J43" s="5">
        <f t="shared" si="34"/>
        <v>-2059</v>
      </c>
      <c r="K43" s="9">
        <f t="shared" si="35"/>
        <v>-3.3227362951248243E-2</v>
      </c>
      <c r="M43" s="5">
        <f>SUMIFS('Spotlight Data Sheet Summary'!D:D,'Spotlight Data Sheet Summary'!$C:$C,$A43,'Spotlight Data Sheet Summary'!$A:$A,2020)</f>
        <v>250</v>
      </c>
      <c r="N43" s="5">
        <f>SUMIFS('Spotlight Data Sheet Summary'!E:E,'Spotlight Data Sheet Summary'!$C:$C,$A43,'Spotlight Data Sheet Summary'!$A:$A,2020)</f>
        <v>0</v>
      </c>
      <c r="O43" s="5">
        <f t="shared" si="36"/>
        <v>250</v>
      </c>
    </row>
    <row r="44" spans="1:15" ht="15.75" customHeight="1" x14ac:dyDescent="0.15">
      <c r="A44" s="4" t="s">
        <v>44</v>
      </c>
      <c r="B44" s="5">
        <f>SUMIFS('Spotlight Data Sheet Summary'!D:D,'Spotlight Data Sheet Summary'!$C:$C,$A44,'Spotlight Data Sheet Summary'!$A:$A,2018)</f>
        <v>22874</v>
      </c>
      <c r="C44" s="5">
        <f>SUMIFS('Spotlight Data Sheet Summary'!E:E,'Spotlight Data Sheet Summary'!$C:$C,$A44,'Spotlight Data Sheet Summary'!$A:$A,2018)</f>
        <v>0</v>
      </c>
      <c r="D44" s="5">
        <f t="shared" si="32"/>
        <v>22874</v>
      </c>
      <c r="F44" s="5">
        <f>SUMIFS('Spotlight Data Sheet Summary'!D:D,'Spotlight Data Sheet Summary'!$C:$C,$A44,'Spotlight Data Sheet Summary'!$A:$A,2019)</f>
        <v>6723</v>
      </c>
      <c r="G44" s="5">
        <f>SUMIFS('Spotlight Data Sheet Summary'!E:E,'Spotlight Data Sheet Summary'!$C:$C,$A44,'Spotlight Data Sheet Summary'!$A:$A,2019)</f>
        <v>0</v>
      </c>
      <c r="H44" s="5">
        <f t="shared" si="33"/>
        <v>6723</v>
      </c>
      <c r="J44" s="5">
        <f t="shared" si="34"/>
        <v>-16151</v>
      </c>
      <c r="K44" s="9">
        <f t="shared" si="35"/>
        <v>-0.70608551193494795</v>
      </c>
      <c r="M44" s="5">
        <f>SUMIFS('Spotlight Data Sheet Summary'!D:D,'Spotlight Data Sheet Summary'!$C:$C,$A44,'Spotlight Data Sheet Summary'!$A:$A,2020)</f>
        <v>0</v>
      </c>
      <c r="N44" s="5">
        <f>SUMIFS('Spotlight Data Sheet Summary'!E:E,'Spotlight Data Sheet Summary'!$C:$C,$A44,'Spotlight Data Sheet Summary'!$A:$A,2020)</f>
        <v>0</v>
      </c>
      <c r="O44" s="5">
        <f t="shared" si="36"/>
        <v>0</v>
      </c>
    </row>
    <row r="45" spans="1:15" ht="15.75" customHeight="1" x14ac:dyDescent="0.15">
      <c r="A45" s="3" t="s">
        <v>45</v>
      </c>
      <c r="B45" s="6">
        <f t="shared" ref="B45:D45" si="37">SUM(B42:B44)</f>
        <v>177991</v>
      </c>
      <c r="C45" s="6">
        <f t="shared" si="37"/>
        <v>0</v>
      </c>
      <c r="D45" s="6">
        <f t="shared" si="37"/>
        <v>177991</v>
      </c>
      <c r="F45" s="6">
        <f t="shared" ref="F45:H45" si="38">SUM(F42:F44)</f>
        <v>295420</v>
      </c>
      <c r="G45" s="6">
        <f t="shared" si="38"/>
        <v>1623</v>
      </c>
      <c r="H45" s="6">
        <f t="shared" si="38"/>
        <v>297043</v>
      </c>
      <c r="J45" s="5">
        <f t="shared" si="34"/>
        <v>119052</v>
      </c>
      <c r="K45" s="9">
        <f t="shared" si="35"/>
        <v>0.66886527970515364</v>
      </c>
      <c r="M45" s="6">
        <f t="shared" ref="M45:O45" si="39">SUM(M42:M44)</f>
        <v>25656</v>
      </c>
      <c r="N45" s="6">
        <f t="shared" si="39"/>
        <v>0</v>
      </c>
      <c r="O45" s="6">
        <f t="shared" si="39"/>
        <v>25656</v>
      </c>
    </row>
    <row r="46" spans="1:15" ht="15.75" customHeight="1" x14ac:dyDescent="0.15">
      <c r="A46" s="3"/>
      <c r="B46" s="5"/>
      <c r="C46" s="5"/>
      <c r="D46" s="5"/>
      <c r="F46" s="5"/>
      <c r="G46" s="5"/>
      <c r="H46" s="5"/>
      <c r="M46" s="5"/>
      <c r="N46" s="5"/>
      <c r="O46" s="5"/>
    </row>
    <row r="47" spans="1:15" ht="15.75" customHeight="1" x14ac:dyDescent="0.15">
      <c r="A47" s="3" t="s">
        <v>13</v>
      </c>
      <c r="B47" s="5"/>
      <c r="C47" s="5"/>
      <c r="D47" s="5"/>
      <c r="F47" s="5"/>
      <c r="G47" s="5"/>
      <c r="H47" s="5"/>
      <c r="M47" s="5"/>
      <c r="N47" s="5"/>
      <c r="O47" s="5"/>
    </row>
    <row r="48" spans="1:15" ht="15.75" customHeight="1" x14ac:dyDescent="0.15">
      <c r="A48" s="4" t="s">
        <v>46</v>
      </c>
      <c r="B48" s="5">
        <f>SUMIFS('Spotlight Data Sheet Summary'!D:D,'Spotlight Data Sheet Summary'!$C:$C,$A48,'Spotlight Data Sheet Summary'!$A:$A,2018)</f>
        <v>2451</v>
      </c>
      <c r="C48" s="5">
        <f>SUMIFS('Spotlight Data Sheet Summary'!E:E,'Spotlight Data Sheet Summary'!$C:$C,$A48,'Spotlight Data Sheet Summary'!$A:$A,2018)</f>
        <v>26351</v>
      </c>
      <c r="D48" s="5">
        <f t="shared" ref="D48:D50" si="40">SUM(B48:C48)</f>
        <v>28802</v>
      </c>
      <c r="F48" s="5">
        <f>SUMIFS('Spotlight Data Sheet Summary'!D:D,'Spotlight Data Sheet Summary'!$C:$C,$A48,'Spotlight Data Sheet Summary'!$A:$A,2019)</f>
        <v>7363</v>
      </c>
      <c r="G48" s="5">
        <f>SUMIFS('Spotlight Data Sheet Summary'!E:E,'Spotlight Data Sheet Summary'!$C:$C,$A48,'Spotlight Data Sheet Summary'!$A:$A,2019)</f>
        <v>74573</v>
      </c>
      <c r="H48" s="5">
        <f t="shared" ref="H48:H50" si="41">SUM(F48:G48)</f>
        <v>81936</v>
      </c>
      <c r="J48" s="5">
        <f t="shared" ref="J48:J51" si="42">H48-D48</f>
        <v>53134</v>
      </c>
      <c r="K48" s="9">
        <f t="shared" ref="K48:K51" si="43">IFERROR(J48/D48,0)</f>
        <v>1.8448024442747031</v>
      </c>
      <c r="M48" s="5">
        <f>SUMIFS('Spotlight Data Sheet Summary'!D:D,'Spotlight Data Sheet Summary'!$C:$C,$A48,'Spotlight Data Sheet Summary'!$A:$A,2020)</f>
        <v>105</v>
      </c>
      <c r="N48" s="5">
        <f>SUMIFS('Spotlight Data Sheet Summary'!E:E,'Spotlight Data Sheet Summary'!$C:$C,$A48,'Spotlight Data Sheet Summary'!$A:$A,2020)</f>
        <v>309</v>
      </c>
      <c r="O48" s="5">
        <f t="shared" ref="O48:O50" si="44">SUM(M48:N48)</f>
        <v>414</v>
      </c>
    </row>
    <row r="49" spans="1:15" ht="15.75" customHeight="1" x14ac:dyDescent="0.15">
      <c r="A49" s="4" t="s">
        <v>47</v>
      </c>
      <c r="B49" s="5">
        <f>SUMIFS('Spotlight Data Sheet Summary'!D:D,'Spotlight Data Sheet Summary'!$C:$C,$A49,'Spotlight Data Sheet Summary'!$A:$A,2018)</f>
        <v>3842</v>
      </c>
      <c r="C49" s="5">
        <f>SUMIFS('Spotlight Data Sheet Summary'!E:E,'Spotlight Data Sheet Summary'!$C:$C,$A49,'Spotlight Data Sheet Summary'!$A:$A,2018)</f>
        <v>5069</v>
      </c>
      <c r="D49" s="5">
        <f t="shared" si="40"/>
        <v>8911</v>
      </c>
      <c r="F49" s="5">
        <f>SUMIFS('Spotlight Data Sheet Summary'!D:D,'Spotlight Data Sheet Summary'!$C:$C,$A49,'Spotlight Data Sheet Summary'!$A:$A,2019)</f>
        <v>2055</v>
      </c>
      <c r="G49" s="5">
        <f>SUMIFS('Spotlight Data Sheet Summary'!E:E,'Spotlight Data Sheet Summary'!$C:$C,$A49,'Spotlight Data Sheet Summary'!$A:$A,2019)</f>
        <v>2199</v>
      </c>
      <c r="H49" s="5">
        <f t="shared" si="41"/>
        <v>4254</v>
      </c>
      <c r="J49" s="5">
        <f t="shared" si="42"/>
        <v>-4657</v>
      </c>
      <c r="K49" s="9">
        <f t="shared" si="43"/>
        <v>-0.52261250140276061</v>
      </c>
      <c r="M49" s="5">
        <f>SUMIFS('Spotlight Data Sheet Summary'!D:D,'Spotlight Data Sheet Summary'!$C:$C,$A49,'Spotlight Data Sheet Summary'!$A:$A,2020)</f>
        <v>36</v>
      </c>
      <c r="N49" s="5">
        <f>SUMIFS('Spotlight Data Sheet Summary'!E:E,'Spotlight Data Sheet Summary'!$C:$C,$A49,'Spotlight Data Sheet Summary'!$A:$A,2020)</f>
        <v>558</v>
      </c>
      <c r="O49" s="5">
        <f t="shared" si="44"/>
        <v>594</v>
      </c>
    </row>
    <row r="50" spans="1:15" ht="15.75" customHeight="1" x14ac:dyDescent="0.15">
      <c r="A50" s="4" t="s">
        <v>48</v>
      </c>
      <c r="B50" s="5">
        <f>SUMIFS('Spotlight Data Sheet Summary'!D:D,'Spotlight Data Sheet Summary'!$C:$C,$A50,'Spotlight Data Sheet Summary'!$A:$A,2018)</f>
        <v>850</v>
      </c>
      <c r="C50" s="5">
        <f>SUMIFS('Spotlight Data Sheet Summary'!E:E,'Spotlight Data Sheet Summary'!$C:$C,$A50,'Spotlight Data Sheet Summary'!$A:$A,2018)</f>
        <v>4758</v>
      </c>
      <c r="D50" s="5">
        <f t="shared" si="40"/>
        <v>5608</v>
      </c>
      <c r="F50" s="5">
        <f>SUMIFS('Spotlight Data Sheet Summary'!D:D,'Spotlight Data Sheet Summary'!$C:$C,$A50,'Spotlight Data Sheet Summary'!$A:$A,2019)</f>
        <v>6003</v>
      </c>
      <c r="G50" s="5">
        <f>SUMIFS('Spotlight Data Sheet Summary'!E:E,'Spotlight Data Sheet Summary'!$C:$C,$A50,'Spotlight Data Sheet Summary'!$A:$A,2019)</f>
        <v>9165</v>
      </c>
      <c r="H50" s="5">
        <f t="shared" si="41"/>
        <v>15168</v>
      </c>
      <c r="J50" s="5">
        <f t="shared" si="42"/>
        <v>9560</v>
      </c>
      <c r="K50" s="9">
        <f t="shared" si="43"/>
        <v>1.7047075606276747</v>
      </c>
      <c r="M50" s="5">
        <f>SUMIFS('Spotlight Data Sheet Summary'!D:D,'Spotlight Data Sheet Summary'!$C:$C,$A50,'Spotlight Data Sheet Summary'!$A:$A,2020)</f>
        <v>435</v>
      </c>
      <c r="N50" s="5">
        <f>SUMIFS('Spotlight Data Sheet Summary'!E:E,'Spotlight Data Sheet Summary'!$C:$C,$A50,'Spotlight Data Sheet Summary'!$A:$A,2020)</f>
        <v>892</v>
      </c>
      <c r="O50" s="5">
        <f t="shared" si="44"/>
        <v>1327</v>
      </c>
    </row>
    <row r="51" spans="1:15" ht="15.75" customHeight="1" x14ac:dyDescent="0.15">
      <c r="A51" s="3" t="s">
        <v>49</v>
      </c>
      <c r="B51" s="6">
        <f t="shared" ref="B51:D51" si="45">SUM(B48:B50)</f>
        <v>7143</v>
      </c>
      <c r="C51" s="6">
        <f t="shared" si="45"/>
        <v>36178</v>
      </c>
      <c r="D51" s="6">
        <f t="shared" si="45"/>
        <v>43321</v>
      </c>
      <c r="F51" s="6">
        <f t="shared" ref="F51:H51" si="46">SUM(F48:F50)</f>
        <v>15421</v>
      </c>
      <c r="G51" s="6">
        <f t="shared" si="46"/>
        <v>85937</v>
      </c>
      <c r="H51" s="6">
        <f t="shared" si="46"/>
        <v>101358</v>
      </c>
      <c r="J51" s="5">
        <f t="shared" si="42"/>
        <v>58037</v>
      </c>
      <c r="K51" s="9">
        <f t="shared" si="43"/>
        <v>1.3396966829020567</v>
      </c>
      <c r="M51" s="6">
        <f t="shared" ref="M51:O51" si="47">SUM(M48:M50)</f>
        <v>576</v>
      </c>
      <c r="N51" s="6">
        <f t="shared" si="47"/>
        <v>1759</v>
      </c>
      <c r="O51" s="6">
        <f t="shared" si="47"/>
        <v>2335</v>
      </c>
    </row>
    <row r="52" spans="1:15" ht="15.75" customHeight="1" x14ac:dyDescent="0.15">
      <c r="A52" s="3"/>
      <c r="B52" s="5"/>
      <c r="C52" s="5"/>
      <c r="D52" s="5"/>
      <c r="F52" s="5"/>
      <c r="G52" s="5"/>
      <c r="H52" s="5"/>
      <c r="M52" s="5"/>
      <c r="N52" s="5"/>
      <c r="O52" s="5"/>
    </row>
    <row r="53" spans="1:15" ht="15.75" customHeight="1" x14ac:dyDescent="0.15">
      <c r="A53" s="3" t="s">
        <v>14</v>
      </c>
      <c r="B53" s="5"/>
      <c r="C53" s="5"/>
      <c r="D53" s="5"/>
      <c r="F53" s="5"/>
      <c r="G53" s="5"/>
      <c r="H53" s="5"/>
      <c r="M53" s="5"/>
      <c r="N53" s="5"/>
      <c r="O53" s="5"/>
    </row>
    <row r="54" spans="1:15" ht="15.75" customHeight="1" x14ac:dyDescent="0.15">
      <c r="A54" s="4" t="s">
        <v>50</v>
      </c>
      <c r="B54" s="5">
        <f>SUMIFS('Spotlight Data Sheet Summary'!D:D,'Spotlight Data Sheet Summary'!$C:$C,$A54,'Spotlight Data Sheet Summary'!$A:$A,2018)</f>
        <v>0</v>
      </c>
      <c r="C54" s="5">
        <f>SUMIFS('Spotlight Data Sheet Summary'!E:E,'Spotlight Data Sheet Summary'!$C:$C,$A54,'Spotlight Data Sheet Summary'!$A:$A,2018)</f>
        <v>0</v>
      </c>
      <c r="D54" s="5">
        <f t="shared" ref="D54:D55" si="48">SUM(B54:C54)</f>
        <v>0</v>
      </c>
      <c r="F54" s="5">
        <f>SUMIFS('Spotlight Data Sheet Summary'!D:D,'Spotlight Data Sheet Summary'!$C:$C,$A54,'Spotlight Data Sheet Summary'!$A:$A,2019)</f>
        <v>0</v>
      </c>
      <c r="G54" s="5">
        <f>SUMIFS('Spotlight Data Sheet Summary'!E:E,'Spotlight Data Sheet Summary'!$C:$C,$A54,'Spotlight Data Sheet Summary'!$A:$A,2019)</f>
        <v>0</v>
      </c>
      <c r="H54" s="5">
        <f t="shared" ref="H54:H55" si="49">SUM(F54:G54)</f>
        <v>0</v>
      </c>
      <c r="J54" s="5">
        <f t="shared" ref="J54:J56" si="50">H54-D54</f>
        <v>0</v>
      </c>
      <c r="K54" s="9">
        <f t="shared" ref="K54:K56" si="51">IFERROR(J54/D54,0)</f>
        <v>0</v>
      </c>
      <c r="M54" s="5">
        <f>SUMIFS('Spotlight Data Sheet Summary'!D:D,'Spotlight Data Sheet Summary'!$C:$C,$A54,'Spotlight Data Sheet Summary'!$A:$A,2020)</f>
        <v>0</v>
      </c>
      <c r="N54" s="5">
        <f>SUMIFS('Spotlight Data Sheet Summary'!E:E,'Spotlight Data Sheet Summary'!$C:$C,$A54,'Spotlight Data Sheet Summary'!$A:$A,2020)</f>
        <v>0</v>
      </c>
      <c r="O54" s="5">
        <f t="shared" ref="O54:O55" si="52">SUM(M54:N54)</f>
        <v>0</v>
      </c>
    </row>
    <row r="55" spans="1:15" ht="15.75" customHeight="1" x14ac:dyDescent="0.15">
      <c r="A55" s="4" t="s">
        <v>51</v>
      </c>
      <c r="B55" s="5">
        <f>SUMIFS('Spotlight Data Sheet Summary'!D:D,'Spotlight Data Sheet Summary'!$C:$C,$A55,'Spotlight Data Sheet Summary'!$A:$A,2018)</f>
        <v>69919</v>
      </c>
      <c r="C55" s="5">
        <f>SUMIFS('Spotlight Data Sheet Summary'!E:E,'Spotlight Data Sheet Summary'!$C:$C,$A55,'Spotlight Data Sheet Summary'!$A:$A,2018)</f>
        <v>0</v>
      </c>
      <c r="D55" s="5">
        <f t="shared" si="48"/>
        <v>69919</v>
      </c>
      <c r="F55" s="5">
        <f>SUMIFS('Spotlight Data Sheet Summary'!D:D,'Spotlight Data Sheet Summary'!$C:$C,$A55,'Spotlight Data Sheet Summary'!$A:$A,2019)</f>
        <v>84038</v>
      </c>
      <c r="G55" s="5">
        <f>SUMIFS('Spotlight Data Sheet Summary'!E:E,'Spotlight Data Sheet Summary'!$C:$C,$A55,'Spotlight Data Sheet Summary'!$A:$A,2019)</f>
        <v>127</v>
      </c>
      <c r="H55" s="5">
        <f t="shared" si="49"/>
        <v>84165</v>
      </c>
      <c r="J55" s="5">
        <f t="shared" si="50"/>
        <v>14246</v>
      </c>
      <c r="K55" s="9">
        <f t="shared" si="51"/>
        <v>0.20375005363349019</v>
      </c>
      <c r="M55" s="5">
        <f>SUMIFS('Spotlight Data Sheet Summary'!D:D,'Spotlight Data Sheet Summary'!$C:$C,$A55,'Spotlight Data Sheet Summary'!$A:$A,2020)</f>
        <v>15848</v>
      </c>
      <c r="N55" s="5">
        <f>SUMIFS('Spotlight Data Sheet Summary'!E:E,'Spotlight Data Sheet Summary'!$C:$C,$A55,'Spotlight Data Sheet Summary'!$A:$A,2020)</f>
        <v>0</v>
      </c>
      <c r="O55" s="5">
        <f t="shared" si="52"/>
        <v>15848</v>
      </c>
    </row>
    <row r="56" spans="1:15" ht="15.75" customHeight="1" x14ac:dyDescent="0.15">
      <c r="A56" s="3" t="s">
        <v>52</v>
      </c>
      <c r="B56" s="6">
        <f t="shared" ref="B56:D56" si="53">SUM(B54:B55)</f>
        <v>69919</v>
      </c>
      <c r="C56" s="6">
        <f t="shared" si="53"/>
        <v>0</v>
      </c>
      <c r="D56" s="6">
        <f t="shared" si="53"/>
        <v>69919</v>
      </c>
      <c r="F56" s="6">
        <f t="shared" ref="F56:H56" si="54">SUM(F54:F55)</f>
        <v>84038</v>
      </c>
      <c r="G56" s="6">
        <f t="shared" si="54"/>
        <v>127</v>
      </c>
      <c r="H56" s="6">
        <f t="shared" si="54"/>
        <v>84165</v>
      </c>
      <c r="J56" s="5">
        <f t="shared" si="50"/>
        <v>14246</v>
      </c>
      <c r="K56" s="9">
        <f t="shared" si="51"/>
        <v>0.20375005363349019</v>
      </c>
      <c r="M56" s="6">
        <f t="shared" ref="M56:O56" si="55">SUM(M54:M55)</f>
        <v>15848</v>
      </c>
      <c r="N56" s="6">
        <f t="shared" si="55"/>
        <v>0</v>
      </c>
      <c r="O56" s="6">
        <f t="shared" si="55"/>
        <v>15848</v>
      </c>
    </row>
    <row r="57" spans="1:15" ht="15.75" customHeight="1" x14ac:dyDescent="0.15">
      <c r="A57" s="3"/>
      <c r="B57" s="5"/>
      <c r="C57" s="5"/>
      <c r="D57" s="5"/>
      <c r="F57" s="5"/>
      <c r="G57" s="5"/>
      <c r="H57" s="5"/>
      <c r="M57" s="5"/>
      <c r="N57" s="5"/>
      <c r="O57" s="5"/>
    </row>
    <row r="58" spans="1:15" ht="15.75" customHeight="1" x14ac:dyDescent="0.15">
      <c r="A58" s="3" t="s">
        <v>15</v>
      </c>
      <c r="B58" s="5"/>
      <c r="C58" s="5"/>
      <c r="D58" s="5"/>
      <c r="F58" s="5"/>
      <c r="G58" s="5"/>
      <c r="H58" s="5"/>
      <c r="M58" s="5"/>
      <c r="N58" s="5"/>
      <c r="O58" s="5"/>
    </row>
    <row r="59" spans="1:15" ht="15.75" customHeight="1" x14ac:dyDescent="0.15">
      <c r="A59" s="4" t="s">
        <v>53</v>
      </c>
      <c r="B59" s="5">
        <f>SUMIFS('Spotlight Data Sheet Summary'!D:D,'Spotlight Data Sheet Summary'!$C:$C,$A59,'Spotlight Data Sheet Summary'!$A:$A,2018)</f>
        <v>3521</v>
      </c>
      <c r="C59" s="5">
        <f>SUMIFS('Spotlight Data Sheet Summary'!E:E,'Spotlight Data Sheet Summary'!$C:$C,$A59,'Spotlight Data Sheet Summary'!$A:$A,2018)</f>
        <v>1616</v>
      </c>
      <c r="D59" s="5">
        <f t="shared" ref="D59:D62" si="56">SUM(B59:C59)</f>
        <v>5137</v>
      </c>
      <c r="F59" s="5">
        <f>SUMIFS('Spotlight Data Sheet Summary'!D:D,'Spotlight Data Sheet Summary'!$C:$C,$A59,'Spotlight Data Sheet Summary'!$A:$A,2019)</f>
        <v>9535</v>
      </c>
      <c r="G59" s="5">
        <f>SUMIFS('Spotlight Data Sheet Summary'!E:E,'Spotlight Data Sheet Summary'!$C:$C,$A59,'Spotlight Data Sheet Summary'!$A:$A,2019)</f>
        <v>12792</v>
      </c>
      <c r="H59" s="5">
        <f t="shared" ref="H59:H62" si="57">SUM(F59:G59)</f>
        <v>22327</v>
      </c>
      <c r="J59" s="5">
        <f t="shared" ref="J59:J63" si="58">H59-D59</f>
        <v>17190</v>
      </c>
      <c r="K59" s="9">
        <f t="shared" ref="K59:K63" si="59">IFERROR(J59/D59,0)</f>
        <v>3.3463110765037958</v>
      </c>
      <c r="M59" s="5">
        <f>SUMIFS('Spotlight Data Sheet Summary'!D:D,'Spotlight Data Sheet Summary'!$C:$C,$A59,'Spotlight Data Sheet Summary'!$A:$A,2020)</f>
        <v>4013</v>
      </c>
      <c r="N59" s="5">
        <f>SUMIFS('Spotlight Data Sheet Summary'!E:E,'Spotlight Data Sheet Summary'!$C:$C,$A59,'Spotlight Data Sheet Summary'!$A:$A,2020)</f>
        <v>302</v>
      </c>
      <c r="O59" s="5">
        <f t="shared" ref="O59:O62" si="60">SUM(M59:N59)</f>
        <v>4315</v>
      </c>
    </row>
    <row r="60" spans="1:15" ht="15.75" customHeight="1" x14ac:dyDescent="0.15">
      <c r="A60" s="4" t="s">
        <v>54</v>
      </c>
      <c r="B60" s="5">
        <f>SUMIFS('Spotlight Data Sheet Summary'!D:D,'Spotlight Data Sheet Summary'!$C:$C,$A60,'Spotlight Data Sheet Summary'!$A:$A,2018)</f>
        <v>0</v>
      </c>
      <c r="C60" s="5">
        <f>SUMIFS('Spotlight Data Sheet Summary'!E:E,'Spotlight Data Sheet Summary'!$C:$C,$A60,'Spotlight Data Sheet Summary'!$A:$A,2018)</f>
        <v>0</v>
      </c>
      <c r="D60" s="5">
        <f t="shared" si="56"/>
        <v>0</v>
      </c>
      <c r="F60" s="5">
        <f>SUMIFS('Spotlight Data Sheet Summary'!D:D,'Spotlight Data Sheet Summary'!$C:$C,$A60,'Spotlight Data Sheet Summary'!$A:$A,2019)</f>
        <v>0</v>
      </c>
      <c r="G60" s="5">
        <f>SUMIFS('Spotlight Data Sheet Summary'!E:E,'Spotlight Data Sheet Summary'!$C:$C,$A60,'Spotlight Data Sheet Summary'!$A:$A,2019)</f>
        <v>0</v>
      </c>
      <c r="H60" s="5">
        <f t="shared" si="57"/>
        <v>0</v>
      </c>
      <c r="J60" s="5">
        <f t="shared" si="58"/>
        <v>0</v>
      </c>
      <c r="K60" s="9">
        <f t="shared" si="59"/>
        <v>0</v>
      </c>
      <c r="M60" s="5">
        <f>SUMIFS('Spotlight Data Sheet Summary'!D:D,'Spotlight Data Sheet Summary'!$C:$C,$A60,'Spotlight Data Sheet Summary'!$A:$A,2020)</f>
        <v>0</v>
      </c>
      <c r="N60" s="5">
        <f>SUMIFS('Spotlight Data Sheet Summary'!E:E,'Spotlight Data Sheet Summary'!$C:$C,$A60,'Spotlight Data Sheet Summary'!$A:$A,2020)</f>
        <v>0</v>
      </c>
      <c r="O60" s="5">
        <f t="shared" si="60"/>
        <v>0</v>
      </c>
    </row>
    <row r="61" spans="1:15" ht="15.75" customHeight="1" x14ac:dyDescent="0.15">
      <c r="A61" s="4" t="s">
        <v>55</v>
      </c>
      <c r="B61" s="5">
        <f>SUMIFS('Spotlight Data Sheet Summary'!D:D,'Spotlight Data Sheet Summary'!$C:$C,$A61,'Spotlight Data Sheet Summary'!$A:$A,2018)</f>
        <v>16674</v>
      </c>
      <c r="C61" s="5">
        <f>SUMIFS('Spotlight Data Sheet Summary'!E:E,'Spotlight Data Sheet Summary'!$C:$C,$A61,'Spotlight Data Sheet Summary'!$A:$A,2018)</f>
        <v>2715</v>
      </c>
      <c r="D61" s="5">
        <f t="shared" si="56"/>
        <v>19389</v>
      </c>
      <c r="F61" s="5">
        <f>SUMIFS('Spotlight Data Sheet Summary'!D:D,'Spotlight Data Sheet Summary'!$C:$C,$A61,'Spotlight Data Sheet Summary'!$A:$A,2019)</f>
        <v>44621</v>
      </c>
      <c r="G61" s="5">
        <f>SUMIFS('Spotlight Data Sheet Summary'!E:E,'Spotlight Data Sheet Summary'!$C:$C,$A61,'Spotlight Data Sheet Summary'!$A:$A,2019)</f>
        <v>2528</v>
      </c>
      <c r="H61" s="5">
        <f t="shared" si="57"/>
        <v>47149</v>
      </c>
      <c r="J61" s="5">
        <f t="shared" si="58"/>
        <v>27760</v>
      </c>
      <c r="K61" s="9">
        <f t="shared" si="59"/>
        <v>1.4317396461911394</v>
      </c>
      <c r="M61" s="5">
        <f>SUMIFS('Spotlight Data Sheet Summary'!D:D,'Spotlight Data Sheet Summary'!$C:$C,$A61,'Spotlight Data Sheet Summary'!$A:$A,2020)</f>
        <v>256</v>
      </c>
      <c r="N61" s="5">
        <f>SUMIFS('Spotlight Data Sheet Summary'!E:E,'Spotlight Data Sheet Summary'!$C:$C,$A61,'Spotlight Data Sheet Summary'!$A:$A,2020)</f>
        <v>0</v>
      </c>
      <c r="O61" s="5">
        <f t="shared" si="60"/>
        <v>256</v>
      </c>
    </row>
    <row r="62" spans="1:15" ht="13" x14ac:dyDescent="0.15">
      <c r="A62" s="4" t="s">
        <v>56</v>
      </c>
      <c r="B62" s="5">
        <f>SUMIFS('Spotlight Data Sheet Summary'!D:D,'Spotlight Data Sheet Summary'!$C:$C,$A62,'Spotlight Data Sheet Summary'!$A:$A,2018)</f>
        <v>16377</v>
      </c>
      <c r="C62" s="5">
        <f>SUMIFS('Spotlight Data Sheet Summary'!E:E,'Spotlight Data Sheet Summary'!$C:$C,$A62,'Spotlight Data Sheet Summary'!$A:$A,2018)</f>
        <v>6280</v>
      </c>
      <c r="D62" s="5">
        <f t="shared" si="56"/>
        <v>22657</v>
      </c>
      <c r="F62" s="5">
        <f>SUMIFS('Spotlight Data Sheet Summary'!D:D,'Spotlight Data Sheet Summary'!$C:$C,$A62,'Spotlight Data Sheet Summary'!$A:$A,2019)</f>
        <v>4361</v>
      </c>
      <c r="G62" s="5">
        <f>SUMIFS('Spotlight Data Sheet Summary'!E:E,'Spotlight Data Sheet Summary'!$C:$C,$A62,'Spotlight Data Sheet Summary'!$A:$A,2019)</f>
        <v>8546</v>
      </c>
      <c r="H62" s="5">
        <f t="shared" si="57"/>
        <v>12907</v>
      </c>
      <c r="J62" s="5">
        <f t="shared" si="58"/>
        <v>-9750</v>
      </c>
      <c r="K62" s="9">
        <f t="shared" si="59"/>
        <v>-0.43033058216003883</v>
      </c>
      <c r="M62" s="5">
        <f>SUMIFS('Spotlight Data Sheet Summary'!D:D,'Spotlight Data Sheet Summary'!$C:$C,$A62,'Spotlight Data Sheet Summary'!$A:$A,2020)</f>
        <v>50</v>
      </c>
      <c r="N62" s="5">
        <f>SUMIFS('Spotlight Data Sheet Summary'!E:E,'Spotlight Data Sheet Summary'!$C:$C,$A62,'Spotlight Data Sheet Summary'!$A:$A,2020)</f>
        <v>0</v>
      </c>
      <c r="O62" s="5">
        <f t="shared" si="60"/>
        <v>50</v>
      </c>
    </row>
    <row r="63" spans="1:15" ht="13" x14ac:dyDescent="0.15">
      <c r="A63" s="3" t="s">
        <v>57</v>
      </c>
      <c r="B63" s="6">
        <f t="shared" ref="B63:D63" si="61">SUM(B59:B62)</f>
        <v>36572</v>
      </c>
      <c r="C63" s="6">
        <f t="shared" si="61"/>
        <v>10611</v>
      </c>
      <c r="D63" s="6">
        <f t="shared" si="61"/>
        <v>47183</v>
      </c>
      <c r="F63" s="6">
        <f t="shared" ref="F63:H63" si="62">SUM(F59:F62)</f>
        <v>58517</v>
      </c>
      <c r="G63" s="6">
        <f t="shared" si="62"/>
        <v>23866</v>
      </c>
      <c r="H63" s="6">
        <f t="shared" si="62"/>
        <v>82383</v>
      </c>
      <c r="J63" s="5">
        <f t="shared" si="58"/>
        <v>35200</v>
      </c>
      <c r="K63" s="9">
        <f t="shared" si="59"/>
        <v>0.74603140961787084</v>
      </c>
      <c r="M63" s="6">
        <f t="shared" ref="M63:O63" si="63">SUM(M59:M62)</f>
        <v>4319</v>
      </c>
      <c r="N63" s="6">
        <f t="shared" si="63"/>
        <v>302</v>
      </c>
      <c r="O63" s="6">
        <f t="shared" si="63"/>
        <v>4621</v>
      </c>
    </row>
    <row r="64" spans="1:15" ht="13" x14ac:dyDescent="0.15">
      <c r="A64" s="3"/>
      <c r="B64" s="5"/>
      <c r="C64" s="5"/>
      <c r="D64" s="5"/>
      <c r="F64" s="5"/>
      <c r="G64" s="5"/>
      <c r="H64" s="5"/>
      <c r="M64" s="5"/>
      <c r="N64" s="5"/>
      <c r="O64" s="5"/>
    </row>
    <row r="65" spans="1:15" ht="13" x14ac:dyDescent="0.15">
      <c r="A65" s="3" t="s">
        <v>16</v>
      </c>
      <c r="B65" s="5"/>
      <c r="C65" s="5"/>
      <c r="D65" s="5"/>
      <c r="F65" s="5"/>
      <c r="G65" s="5"/>
      <c r="H65" s="5"/>
      <c r="M65" s="5"/>
      <c r="N65" s="5"/>
      <c r="O65" s="5"/>
    </row>
    <row r="66" spans="1:15" ht="13" x14ac:dyDescent="0.15">
      <c r="A66" s="4" t="s">
        <v>58</v>
      </c>
      <c r="B66" s="5">
        <f>SUMIFS('Spotlight Data Sheet Summary'!D:D,'Spotlight Data Sheet Summary'!$C:$C,$A66,'Spotlight Data Sheet Summary'!$A:$A,2018)</f>
        <v>21859</v>
      </c>
      <c r="C66" s="5">
        <f>SUMIFS('Spotlight Data Sheet Summary'!E:E,'Spotlight Data Sheet Summary'!$C:$C,$A66,'Spotlight Data Sheet Summary'!$A:$A,2018)</f>
        <v>43729</v>
      </c>
      <c r="D66" s="5">
        <f t="shared" ref="D66:D67" si="64">SUM(B66:C66)</f>
        <v>65588</v>
      </c>
      <c r="F66" s="5">
        <f>SUMIFS('Spotlight Data Sheet Summary'!D:D,'Spotlight Data Sheet Summary'!$C:$C,$A66,'Spotlight Data Sheet Summary'!$A:$A,2019)</f>
        <v>3590</v>
      </c>
      <c r="G66" s="5">
        <f>SUMIFS('Spotlight Data Sheet Summary'!E:E,'Spotlight Data Sheet Summary'!$C:$C,$A66,'Spotlight Data Sheet Summary'!$A:$A,2019)</f>
        <v>27123</v>
      </c>
      <c r="H66" s="5">
        <f t="shared" ref="H66:H67" si="65">SUM(F66:G66)</f>
        <v>30713</v>
      </c>
      <c r="J66" s="5">
        <f t="shared" ref="J66:J68" si="66">H66-D66</f>
        <v>-34875</v>
      </c>
      <c r="K66" s="9">
        <f t="shared" ref="K66:K68" si="67">IFERROR(J66/D66,0)</f>
        <v>-0.53172836494480702</v>
      </c>
      <c r="M66" s="5">
        <f>SUMIFS('Spotlight Data Sheet Summary'!D:D,'Spotlight Data Sheet Summary'!$C:$C,$A66,'Spotlight Data Sheet Summary'!$A:$A,2020)</f>
        <v>0</v>
      </c>
      <c r="N66" s="5">
        <f>SUMIFS('Spotlight Data Sheet Summary'!E:E,'Spotlight Data Sheet Summary'!$C:$C,$A66,'Spotlight Data Sheet Summary'!$A:$A,2020)</f>
        <v>2099</v>
      </c>
      <c r="O66" s="5">
        <f t="shared" ref="O66:O67" si="68">SUM(M66:N66)</f>
        <v>2099</v>
      </c>
    </row>
    <row r="67" spans="1:15" ht="13" x14ac:dyDescent="0.15">
      <c r="A67" s="4" t="s">
        <v>59</v>
      </c>
      <c r="B67" s="5">
        <f>SUMIFS('Spotlight Data Sheet Summary'!D:D,'Spotlight Data Sheet Summary'!$C:$C,$A67,'Spotlight Data Sheet Summary'!$A:$A,2018)</f>
        <v>0</v>
      </c>
      <c r="C67" s="5">
        <f>SUMIFS('Spotlight Data Sheet Summary'!E:E,'Spotlight Data Sheet Summary'!$C:$C,$A67,'Spotlight Data Sheet Summary'!$A:$A,2018)</f>
        <v>0</v>
      </c>
      <c r="D67" s="5">
        <f t="shared" si="64"/>
        <v>0</v>
      </c>
      <c r="F67" s="5">
        <f>SUMIFS('Spotlight Data Sheet Summary'!D:D,'Spotlight Data Sheet Summary'!$C:$C,$A67,'Spotlight Data Sheet Summary'!$A:$A,2019)</f>
        <v>0</v>
      </c>
      <c r="G67" s="5">
        <f>SUMIFS('Spotlight Data Sheet Summary'!E:E,'Spotlight Data Sheet Summary'!$C:$C,$A67,'Spotlight Data Sheet Summary'!$A:$A,2019)</f>
        <v>0</v>
      </c>
      <c r="H67" s="5">
        <f t="shared" si="65"/>
        <v>0</v>
      </c>
      <c r="J67" s="5">
        <f t="shared" si="66"/>
        <v>0</v>
      </c>
      <c r="K67" s="9">
        <f t="shared" si="67"/>
        <v>0</v>
      </c>
      <c r="M67" s="5">
        <f>SUMIFS('Spotlight Data Sheet Summary'!D:D,'Spotlight Data Sheet Summary'!$C:$C,$A67,'Spotlight Data Sheet Summary'!$A:$A,2020)</f>
        <v>0</v>
      </c>
      <c r="N67" s="5">
        <f>SUMIFS('Spotlight Data Sheet Summary'!E:E,'Spotlight Data Sheet Summary'!$C:$C,$A67,'Spotlight Data Sheet Summary'!$A:$A,2020)</f>
        <v>0</v>
      </c>
      <c r="O67" s="5">
        <f t="shared" si="68"/>
        <v>0</v>
      </c>
    </row>
    <row r="68" spans="1:15" ht="13" x14ac:dyDescent="0.15">
      <c r="A68" s="3" t="s">
        <v>60</v>
      </c>
      <c r="B68" s="6">
        <f t="shared" ref="B68:D68" si="69">SUM(B66:B67)</f>
        <v>21859</v>
      </c>
      <c r="C68" s="6">
        <f t="shared" si="69"/>
        <v>43729</v>
      </c>
      <c r="D68" s="6">
        <f t="shared" si="69"/>
        <v>65588</v>
      </c>
      <c r="F68" s="6">
        <f t="shared" ref="F68:H68" si="70">SUM(F66:F67)</f>
        <v>3590</v>
      </c>
      <c r="G68" s="6">
        <f t="shared" si="70"/>
        <v>27123</v>
      </c>
      <c r="H68" s="6">
        <f t="shared" si="70"/>
        <v>30713</v>
      </c>
      <c r="J68" s="5">
        <f t="shared" si="66"/>
        <v>-34875</v>
      </c>
      <c r="K68" s="9">
        <f t="shared" si="67"/>
        <v>-0.53172836494480702</v>
      </c>
      <c r="M68" s="6">
        <f t="shared" ref="M68:O68" si="71">SUM(M66:M67)</f>
        <v>0</v>
      </c>
      <c r="N68" s="6">
        <f t="shared" si="71"/>
        <v>2099</v>
      </c>
      <c r="O68" s="6">
        <f t="shared" si="71"/>
        <v>2099</v>
      </c>
    </row>
    <row r="69" spans="1:15" ht="13" x14ac:dyDescent="0.15">
      <c r="A69" s="3"/>
      <c r="B69" s="5"/>
      <c r="C69" s="5"/>
      <c r="D69" s="5"/>
      <c r="F69" s="5"/>
      <c r="G69" s="5"/>
      <c r="H69" s="5"/>
      <c r="M69" s="5"/>
      <c r="N69" s="5"/>
      <c r="O69" s="5"/>
    </row>
    <row r="70" spans="1:15" ht="13" x14ac:dyDescent="0.15">
      <c r="A70" s="3" t="s">
        <v>17</v>
      </c>
      <c r="B70" s="5"/>
      <c r="C70" s="5"/>
      <c r="D70" s="5"/>
      <c r="F70" s="5"/>
      <c r="G70" s="5"/>
      <c r="H70" s="5"/>
      <c r="M70" s="5"/>
      <c r="N70" s="5"/>
      <c r="O70" s="5"/>
    </row>
    <row r="71" spans="1:15" ht="13" x14ac:dyDescent="0.15">
      <c r="A71" s="4" t="s">
        <v>61</v>
      </c>
      <c r="B71" s="5">
        <f>SUMIFS('Spotlight Data Sheet Summary'!D:D,'Spotlight Data Sheet Summary'!$C:$C,$A71,'Spotlight Data Sheet Summary'!$A:$A,2018)</f>
        <v>678</v>
      </c>
      <c r="C71" s="5">
        <f>SUMIFS('Spotlight Data Sheet Summary'!E:E,'Spotlight Data Sheet Summary'!$C:$C,$A71,'Spotlight Data Sheet Summary'!$A:$A,2018)</f>
        <v>13942</v>
      </c>
      <c r="D71" s="5">
        <f t="shared" ref="D71:D75" si="72">SUM(B71:C71)</f>
        <v>14620</v>
      </c>
      <c r="F71" s="5">
        <f>SUMIFS('Spotlight Data Sheet Summary'!D:D,'Spotlight Data Sheet Summary'!$C:$C,$A71,'Spotlight Data Sheet Summary'!$A:$A,2019)</f>
        <v>10</v>
      </c>
      <c r="G71" s="5">
        <f>SUMIFS('Spotlight Data Sheet Summary'!E:E,'Spotlight Data Sheet Summary'!$C:$C,$A71,'Spotlight Data Sheet Summary'!$A:$A,2019)</f>
        <v>42072</v>
      </c>
      <c r="H71" s="5">
        <f t="shared" ref="H71:H75" si="73">SUM(F71:G71)</f>
        <v>42082</v>
      </c>
      <c r="J71" s="5">
        <f t="shared" ref="J71:J76" si="74">H71-D71</f>
        <v>27462</v>
      </c>
      <c r="K71" s="9">
        <f t="shared" ref="K71:K76" si="75">IFERROR(J71/D71,0)</f>
        <v>1.8783857729138167</v>
      </c>
      <c r="M71" s="5">
        <f>SUMIFS('Spotlight Data Sheet Summary'!D:D,'Spotlight Data Sheet Summary'!$C:$C,$A71,'Spotlight Data Sheet Summary'!$A:$A,2020)</f>
        <v>0</v>
      </c>
      <c r="N71" s="5">
        <f>SUMIFS('Spotlight Data Sheet Summary'!E:E,'Spotlight Data Sheet Summary'!$C:$C,$A71,'Spotlight Data Sheet Summary'!$A:$A,2020)</f>
        <v>0</v>
      </c>
      <c r="O71" s="5">
        <f t="shared" ref="O71:O75" si="76">SUM(M71:N71)</f>
        <v>0</v>
      </c>
    </row>
    <row r="72" spans="1:15" ht="13" x14ac:dyDescent="0.15">
      <c r="A72" s="4" t="s">
        <v>62</v>
      </c>
      <c r="B72" s="5">
        <f>SUMIFS('Spotlight Data Sheet Summary'!D:D,'Spotlight Data Sheet Summary'!$C:$C,$A72,'Spotlight Data Sheet Summary'!$A:$A,2018)</f>
        <v>0</v>
      </c>
      <c r="C72" s="5">
        <f>SUMIFS('Spotlight Data Sheet Summary'!E:E,'Spotlight Data Sheet Summary'!$C:$C,$A72,'Spotlight Data Sheet Summary'!$A:$A,2018)</f>
        <v>213</v>
      </c>
      <c r="D72" s="5">
        <f t="shared" si="72"/>
        <v>213</v>
      </c>
      <c r="F72" s="5">
        <f>SUMIFS('Spotlight Data Sheet Summary'!D:D,'Spotlight Data Sheet Summary'!$C:$C,$A72,'Spotlight Data Sheet Summary'!$A:$A,2019)</f>
        <v>0</v>
      </c>
      <c r="G72" s="5">
        <f>SUMIFS('Spotlight Data Sheet Summary'!E:E,'Spotlight Data Sheet Summary'!$C:$C,$A72,'Spotlight Data Sheet Summary'!$A:$A,2019)</f>
        <v>2638</v>
      </c>
      <c r="H72" s="5">
        <f t="shared" si="73"/>
        <v>2638</v>
      </c>
      <c r="J72" s="5">
        <f t="shared" si="74"/>
        <v>2425</v>
      </c>
      <c r="K72" s="9">
        <f t="shared" si="75"/>
        <v>11.384976525821596</v>
      </c>
      <c r="M72" s="5">
        <f>SUMIFS('Spotlight Data Sheet Summary'!D:D,'Spotlight Data Sheet Summary'!$C:$C,$A72,'Spotlight Data Sheet Summary'!$A:$A,2020)</f>
        <v>0</v>
      </c>
      <c r="N72" s="5">
        <f>SUMIFS('Spotlight Data Sheet Summary'!E:E,'Spotlight Data Sheet Summary'!$C:$C,$A72,'Spotlight Data Sheet Summary'!$A:$A,2020)</f>
        <v>0</v>
      </c>
      <c r="O72" s="5">
        <f t="shared" si="76"/>
        <v>0</v>
      </c>
    </row>
    <row r="73" spans="1:15" ht="13" x14ac:dyDescent="0.15">
      <c r="A73" s="4" t="s">
        <v>63</v>
      </c>
      <c r="B73" s="5">
        <f>SUMIFS('Spotlight Data Sheet Summary'!D:D,'Spotlight Data Sheet Summary'!$C:$C,$A73,'Spotlight Data Sheet Summary'!$A:$A,2018)</f>
        <v>0</v>
      </c>
      <c r="C73" s="5">
        <f>SUMIFS('Spotlight Data Sheet Summary'!E:E,'Spotlight Data Sheet Summary'!$C:$C,$A73,'Spotlight Data Sheet Summary'!$A:$A,2018)</f>
        <v>265</v>
      </c>
      <c r="D73" s="5">
        <f t="shared" si="72"/>
        <v>265</v>
      </c>
      <c r="F73" s="5">
        <f>SUMIFS('Spotlight Data Sheet Summary'!D:D,'Spotlight Data Sheet Summary'!$C:$C,$A73,'Spotlight Data Sheet Summary'!$A:$A,2019)</f>
        <v>0</v>
      </c>
      <c r="G73" s="5">
        <f>SUMIFS('Spotlight Data Sheet Summary'!E:E,'Spotlight Data Sheet Summary'!$C:$C,$A73,'Spotlight Data Sheet Summary'!$A:$A,2019)</f>
        <v>0</v>
      </c>
      <c r="H73" s="5">
        <f t="shared" si="73"/>
        <v>0</v>
      </c>
      <c r="J73" s="5">
        <f t="shared" si="74"/>
        <v>-265</v>
      </c>
      <c r="K73" s="9">
        <f t="shared" si="75"/>
        <v>-1</v>
      </c>
      <c r="M73" s="5">
        <f>SUMIFS('Spotlight Data Sheet Summary'!D:D,'Spotlight Data Sheet Summary'!$C:$C,$A73,'Spotlight Data Sheet Summary'!$A:$A,2020)</f>
        <v>0</v>
      </c>
      <c r="N73" s="5">
        <f>SUMIFS('Spotlight Data Sheet Summary'!E:E,'Spotlight Data Sheet Summary'!$C:$C,$A73,'Spotlight Data Sheet Summary'!$A:$A,2020)</f>
        <v>0</v>
      </c>
      <c r="O73" s="5">
        <f t="shared" si="76"/>
        <v>0</v>
      </c>
    </row>
    <row r="74" spans="1:15" ht="13" x14ac:dyDescent="0.15">
      <c r="A74" s="4" t="s">
        <v>64</v>
      </c>
      <c r="B74" s="5">
        <f>SUMIFS('Spotlight Data Sheet Summary'!D:D,'Spotlight Data Sheet Summary'!$C:$C,$A74,'Spotlight Data Sheet Summary'!$A:$A,2018)</f>
        <v>0</v>
      </c>
      <c r="C74" s="5">
        <f>SUMIFS('Spotlight Data Sheet Summary'!E:E,'Spotlight Data Sheet Summary'!$C:$C,$A74,'Spotlight Data Sheet Summary'!$A:$A,2018)</f>
        <v>6</v>
      </c>
      <c r="D74" s="5">
        <f t="shared" si="72"/>
        <v>6</v>
      </c>
      <c r="F74" s="5">
        <f>SUMIFS('Spotlight Data Sheet Summary'!D:D,'Spotlight Data Sheet Summary'!$C:$C,$A74,'Spotlight Data Sheet Summary'!$A:$A,2019)</f>
        <v>0</v>
      </c>
      <c r="G74" s="5">
        <f>SUMIFS('Spotlight Data Sheet Summary'!E:E,'Spotlight Data Sheet Summary'!$C:$C,$A74,'Spotlight Data Sheet Summary'!$A:$A,2019)</f>
        <v>3</v>
      </c>
      <c r="H74" s="5">
        <f t="shared" si="73"/>
        <v>3</v>
      </c>
      <c r="J74" s="5">
        <f t="shared" si="74"/>
        <v>-3</v>
      </c>
      <c r="K74" s="9">
        <f t="shared" si="75"/>
        <v>-0.5</v>
      </c>
      <c r="M74" s="5">
        <f>SUMIFS('Spotlight Data Sheet Summary'!D:D,'Spotlight Data Sheet Summary'!$C:$C,$A74,'Spotlight Data Sheet Summary'!$A:$A,2020)</f>
        <v>0</v>
      </c>
      <c r="N74" s="5">
        <f>SUMIFS('Spotlight Data Sheet Summary'!E:E,'Spotlight Data Sheet Summary'!$C:$C,$A74,'Spotlight Data Sheet Summary'!$A:$A,2020)</f>
        <v>-5</v>
      </c>
      <c r="O74" s="5">
        <f t="shared" si="76"/>
        <v>-5</v>
      </c>
    </row>
    <row r="75" spans="1:15" ht="13" x14ac:dyDescent="0.15">
      <c r="A75" s="4" t="s">
        <v>65</v>
      </c>
      <c r="B75" s="5">
        <f>SUMIFS('Spotlight Data Sheet Summary'!D:D,'Spotlight Data Sheet Summary'!$C:$C,$A75,'Spotlight Data Sheet Summary'!$A:$A,2018)</f>
        <v>0</v>
      </c>
      <c r="C75" s="5">
        <f>SUMIFS('Spotlight Data Sheet Summary'!E:E,'Spotlight Data Sheet Summary'!$C:$C,$A75,'Spotlight Data Sheet Summary'!$A:$A,2018)</f>
        <v>0</v>
      </c>
      <c r="D75" s="5">
        <f t="shared" si="72"/>
        <v>0</v>
      </c>
      <c r="F75" s="5">
        <f>SUMIFS('Spotlight Data Sheet Summary'!D:D,'Spotlight Data Sheet Summary'!$C:$C,$A75,'Spotlight Data Sheet Summary'!$A:$A,2019)</f>
        <v>0</v>
      </c>
      <c r="G75" s="5">
        <f>SUMIFS('Spotlight Data Sheet Summary'!E:E,'Spotlight Data Sheet Summary'!$C:$C,$A75,'Spotlight Data Sheet Summary'!$A:$A,2019)</f>
        <v>0</v>
      </c>
      <c r="H75" s="5">
        <f t="shared" si="73"/>
        <v>0</v>
      </c>
      <c r="J75" s="5">
        <f t="shared" si="74"/>
        <v>0</v>
      </c>
      <c r="K75" s="9">
        <f t="shared" si="75"/>
        <v>0</v>
      </c>
      <c r="M75" s="5">
        <f>SUMIFS('Spotlight Data Sheet Summary'!D:D,'Spotlight Data Sheet Summary'!$C:$C,$A75,'Spotlight Data Sheet Summary'!$A:$A,2020)</f>
        <v>0</v>
      </c>
      <c r="N75" s="5">
        <f>SUMIFS('Spotlight Data Sheet Summary'!E:E,'Spotlight Data Sheet Summary'!$C:$C,$A75,'Spotlight Data Sheet Summary'!$A:$A,2020)</f>
        <v>0</v>
      </c>
      <c r="O75" s="5">
        <f t="shared" si="76"/>
        <v>0</v>
      </c>
    </row>
    <row r="76" spans="1:15" ht="13" x14ac:dyDescent="0.15">
      <c r="A76" s="3" t="s">
        <v>66</v>
      </c>
      <c r="B76" s="6">
        <f t="shared" ref="B76:D76" si="77">SUM(B71:B75)</f>
        <v>678</v>
      </c>
      <c r="C76" s="6">
        <f t="shared" si="77"/>
        <v>14426</v>
      </c>
      <c r="D76" s="6">
        <f t="shared" si="77"/>
        <v>15104</v>
      </c>
      <c r="F76" s="6">
        <f t="shared" ref="F76:H76" si="78">SUM(F71:F75)</f>
        <v>10</v>
      </c>
      <c r="G76" s="6">
        <f t="shared" si="78"/>
        <v>44713</v>
      </c>
      <c r="H76" s="6">
        <f t="shared" si="78"/>
        <v>44723</v>
      </c>
      <c r="J76" s="5">
        <f t="shared" si="74"/>
        <v>29619</v>
      </c>
      <c r="K76" s="9">
        <f t="shared" si="75"/>
        <v>1.9610037076271187</v>
      </c>
      <c r="M76" s="6">
        <f t="shared" ref="M76:O76" si="79">SUM(M71:M75)</f>
        <v>0</v>
      </c>
      <c r="N76" s="6">
        <f t="shared" si="79"/>
        <v>-5</v>
      </c>
      <c r="O76" s="6">
        <f t="shared" si="79"/>
        <v>-5</v>
      </c>
    </row>
    <row r="77" spans="1:15" ht="13" x14ac:dyDescent="0.15">
      <c r="A77" s="3"/>
      <c r="B77" s="5"/>
      <c r="C77" s="5"/>
      <c r="D77" s="5"/>
      <c r="F77" s="5"/>
      <c r="G77" s="5"/>
      <c r="H77" s="5"/>
      <c r="M77" s="5"/>
      <c r="N77" s="5"/>
      <c r="O77" s="5"/>
    </row>
    <row r="78" spans="1:15" ht="13" x14ac:dyDescent="0.15">
      <c r="A78" s="3" t="s">
        <v>18</v>
      </c>
      <c r="B78" s="5"/>
      <c r="C78" s="5"/>
      <c r="D78" s="5"/>
      <c r="F78" s="5"/>
      <c r="G78" s="5"/>
      <c r="H78" s="5"/>
      <c r="M78" s="5"/>
      <c r="N78" s="5"/>
      <c r="O78" s="5"/>
    </row>
    <row r="79" spans="1:15" ht="13" x14ac:dyDescent="0.15">
      <c r="A79" s="4" t="s">
        <v>67</v>
      </c>
      <c r="B79" s="5">
        <f>SUMIFS('Spotlight Data Sheet Summary'!D:D,'Spotlight Data Sheet Summary'!$C:$C,$A79,'Spotlight Data Sheet Summary'!$A:$A,2018)</f>
        <v>0</v>
      </c>
      <c r="C79" s="5">
        <f>SUMIFS('Spotlight Data Sheet Summary'!E:E,'Spotlight Data Sheet Summary'!$C:$C,$A79,'Spotlight Data Sheet Summary'!$A:$A,2018)</f>
        <v>0</v>
      </c>
      <c r="D79" s="5">
        <f t="shared" ref="D79:D81" si="80">SUM(B79:C79)</f>
        <v>0</v>
      </c>
      <c r="F79" s="5">
        <f>SUMIFS('Spotlight Data Sheet Summary'!D:D,'Spotlight Data Sheet Summary'!$C:$C,$A79,'Spotlight Data Sheet Summary'!$A:$A,2019)</f>
        <v>0</v>
      </c>
      <c r="G79" s="5">
        <f>SUMIFS('Spotlight Data Sheet Summary'!E:E,'Spotlight Data Sheet Summary'!$C:$C,$A79,'Spotlight Data Sheet Summary'!$A:$A,2019)</f>
        <v>0</v>
      </c>
      <c r="H79" s="5">
        <f t="shared" ref="H79:H81" si="81">SUM(F79:G79)</f>
        <v>0</v>
      </c>
      <c r="J79" s="5">
        <f t="shared" ref="J79:J82" si="82">H79-D79</f>
        <v>0</v>
      </c>
      <c r="K79" s="9">
        <f t="shared" ref="K79:K82" si="83">IFERROR(J79/D79,0)</f>
        <v>0</v>
      </c>
      <c r="M79" s="5">
        <f>SUMIFS('Spotlight Data Sheet Summary'!D:D,'Spotlight Data Sheet Summary'!$C:$C,$A79,'Spotlight Data Sheet Summary'!$A:$A,2020)</f>
        <v>0</v>
      </c>
      <c r="N79" s="5">
        <f>SUMIFS('Spotlight Data Sheet Summary'!E:E,'Spotlight Data Sheet Summary'!$C:$C,$A79,'Spotlight Data Sheet Summary'!$A:$A,2020)</f>
        <v>0</v>
      </c>
      <c r="O79" s="5">
        <f t="shared" ref="O79:O81" si="84">SUM(M79:N79)</f>
        <v>0</v>
      </c>
    </row>
    <row r="80" spans="1:15" ht="13" x14ac:dyDescent="0.15">
      <c r="A80" s="4" t="s">
        <v>68</v>
      </c>
      <c r="B80" s="5">
        <f>SUMIFS('Spotlight Data Sheet Summary'!D:D,'Spotlight Data Sheet Summary'!$C:$C,$A80,'Spotlight Data Sheet Summary'!$A:$A,2018)</f>
        <v>0</v>
      </c>
      <c r="C80" s="5">
        <f>SUMIFS('Spotlight Data Sheet Summary'!E:E,'Spotlight Data Sheet Summary'!$C:$C,$A80,'Spotlight Data Sheet Summary'!$A:$A,2018)</f>
        <v>13</v>
      </c>
      <c r="D80" s="5">
        <f t="shared" si="80"/>
        <v>13</v>
      </c>
      <c r="F80" s="5">
        <f>SUMIFS('Spotlight Data Sheet Summary'!D:D,'Spotlight Data Sheet Summary'!$C:$C,$A80,'Spotlight Data Sheet Summary'!$A:$A,2019)</f>
        <v>0</v>
      </c>
      <c r="G80" s="5">
        <f>SUMIFS('Spotlight Data Sheet Summary'!E:E,'Spotlight Data Sheet Summary'!$C:$C,$A80,'Spotlight Data Sheet Summary'!$A:$A,2019)</f>
        <v>0</v>
      </c>
      <c r="H80" s="5">
        <f t="shared" si="81"/>
        <v>0</v>
      </c>
      <c r="J80" s="5">
        <f t="shared" si="82"/>
        <v>-13</v>
      </c>
      <c r="K80" s="9">
        <f t="shared" si="83"/>
        <v>-1</v>
      </c>
      <c r="M80" s="5">
        <f>SUMIFS('Spotlight Data Sheet Summary'!D:D,'Spotlight Data Sheet Summary'!$C:$C,$A80,'Spotlight Data Sheet Summary'!$A:$A,2020)</f>
        <v>0</v>
      </c>
      <c r="N80" s="5">
        <f>SUMIFS('Spotlight Data Sheet Summary'!E:E,'Spotlight Data Sheet Summary'!$C:$C,$A80,'Spotlight Data Sheet Summary'!$A:$A,2020)</f>
        <v>0</v>
      </c>
      <c r="O80" s="5">
        <f t="shared" si="84"/>
        <v>0</v>
      </c>
    </row>
    <row r="81" spans="1:15" ht="13" x14ac:dyDescent="0.15">
      <c r="A81" s="4" t="s">
        <v>69</v>
      </c>
      <c r="B81" s="5">
        <f>SUMIFS('Spotlight Data Sheet Summary'!D:D,'Spotlight Data Sheet Summary'!$C:$C,$A81,'Spotlight Data Sheet Summary'!$A:$A,2018)</f>
        <v>0</v>
      </c>
      <c r="C81" s="5">
        <f>SUMIFS('Spotlight Data Sheet Summary'!E:E,'Spotlight Data Sheet Summary'!$C:$C,$A81,'Spotlight Data Sheet Summary'!$A:$A,2018)</f>
        <v>396</v>
      </c>
      <c r="D81" s="5">
        <f t="shared" si="80"/>
        <v>396</v>
      </c>
      <c r="F81" s="5">
        <f>SUMIFS('Spotlight Data Sheet Summary'!D:D,'Spotlight Data Sheet Summary'!$C:$C,$A81,'Spotlight Data Sheet Summary'!$A:$A,2019)</f>
        <v>0</v>
      </c>
      <c r="G81" s="5">
        <f>SUMIFS('Spotlight Data Sheet Summary'!E:E,'Spotlight Data Sheet Summary'!$C:$C,$A81,'Spotlight Data Sheet Summary'!$A:$A,2019)</f>
        <v>0</v>
      </c>
      <c r="H81" s="5">
        <f t="shared" si="81"/>
        <v>0</v>
      </c>
      <c r="J81" s="5">
        <f t="shared" si="82"/>
        <v>-396</v>
      </c>
      <c r="K81" s="9">
        <f t="shared" si="83"/>
        <v>-1</v>
      </c>
      <c r="M81" s="5">
        <f>SUMIFS('Spotlight Data Sheet Summary'!D:D,'Spotlight Data Sheet Summary'!$C:$C,$A81,'Spotlight Data Sheet Summary'!$A:$A,2020)</f>
        <v>0</v>
      </c>
      <c r="N81" s="5">
        <f>SUMIFS('Spotlight Data Sheet Summary'!E:E,'Spotlight Data Sheet Summary'!$C:$C,$A81,'Spotlight Data Sheet Summary'!$A:$A,2020)</f>
        <v>0</v>
      </c>
      <c r="O81" s="5">
        <f t="shared" si="84"/>
        <v>0</v>
      </c>
    </row>
    <row r="82" spans="1:15" ht="13" x14ac:dyDescent="0.15">
      <c r="A82" s="3" t="s">
        <v>70</v>
      </c>
      <c r="B82" s="6">
        <f t="shared" ref="B82:D82" si="85">SUM(B79:B81)</f>
        <v>0</v>
      </c>
      <c r="C82" s="6">
        <f t="shared" si="85"/>
        <v>409</v>
      </c>
      <c r="D82" s="6">
        <f t="shared" si="85"/>
        <v>409</v>
      </c>
      <c r="F82" s="6">
        <f t="shared" ref="F82:H82" si="86">SUM(F79:F81)</f>
        <v>0</v>
      </c>
      <c r="G82" s="6">
        <f t="shared" si="86"/>
        <v>0</v>
      </c>
      <c r="H82" s="6">
        <f t="shared" si="86"/>
        <v>0</v>
      </c>
      <c r="J82" s="5">
        <f t="shared" si="82"/>
        <v>-409</v>
      </c>
      <c r="K82" s="9">
        <f t="shared" si="83"/>
        <v>-1</v>
      </c>
      <c r="M82" s="6">
        <f t="shared" ref="M82:O82" si="87">SUM(M79:M81)</f>
        <v>0</v>
      </c>
      <c r="N82" s="6">
        <f t="shared" si="87"/>
        <v>0</v>
      </c>
      <c r="O82" s="6">
        <f t="shared" si="87"/>
        <v>0</v>
      </c>
    </row>
    <row r="83" spans="1:15" ht="13" x14ac:dyDescent="0.15">
      <c r="A83" s="3"/>
      <c r="B83" s="5"/>
      <c r="C83" s="5"/>
      <c r="D83" s="5"/>
      <c r="F83" s="5"/>
      <c r="G83" s="5"/>
      <c r="H83" s="5"/>
      <c r="M83" s="5"/>
      <c r="N83" s="5"/>
      <c r="O83" s="5"/>
    </row>
    <row r="84" spans="1:15" ht="13" x14ac:dyDescent="0.15">
      <c r="A84" s="3" t="s">
        <v>20</v>
      </c>
      <c r="B84" s="6">
        <f t="shared" ref="B84:D84" si="88">SUM(B82,B76,B68,B63,B56,B51,B45,B39,B32,B26,B23,B17,B9)</f>
        <v>613416</v>
      </c>
      <c r="C84" s="6">
        <f t="shared" si="88"/>
        <v>1367557</v>
      </c>
      <c r="D84" s="6">
        <f t="shared" si="88"/>
        <v>1980973</v>
      </c>
      <c r="F84" s="6">
        <f t="shared" ref="F84:H84" si="89">SUM(F82,F76,F68,F63,F56,F51,F45,F39,F32,F26,F23,F17,F9)</f>
        <v>717106</v>
      </c>
      <c r="G84" s="6">
        <f t="shared" si="89"/>
        <v>2354332</v>
      </c>
      <c r="H84" s="6">
        <f t="shared" si="89"/>
        <v>3071438</v>
      </c>
      <c r="J84" s="5">
        <f>H84-D84</f>
        <v>1090465</v>
      </c>
      <c r="K84" s="9">
        <f>IFERROR(J84/D84,0)</f>
        <v>0.55046939054696864</v>
      </c>
      <c r="M84" s="6">
        <f t="shared" ref="M84:O84" si="90">SUM(M82,M76,M68,M63,M56,M51,M45,M39,M32,M26,M23,M17,M9)</f>
        <v>86556</v>
      </c>
      <c r="N84" s="6">
        <f t="shared" si="90"/>
        <v>298191</v>
      </c>
      <c r="O84" s="6">
        <f t="shared" si="90"/>
        <v>384747</v>
      </c>
    </row>
    <row r="85" spans="1:15" ht="13" x14ac:dyDescent="0.15">
      <c r="B85" s="5"/>
      <c r="C85" s="5"/>
      <c r="D85" s="5"/>
      <c r="F85" s="5"/>
      <c r="G85" s="5"/>
      <c r="H85" s="5"/>
      <c r="M85" s="5"/>
      <c r="N85" s="5"/>
      <c r="O85" s="5"/>
    </row>
    <row r="86" spans="1:15" ht="13" x14ac:dyDescent="0.15">
      <c r="B86" s="7" t="str">
        <f>IF(B84= SUMIF('Spotlight Data Sheet Summary'!$A:$A,2018,'Spotlight Data Sheet Summary'!D:D),"MATCH","ERROR")</f>
        <v>MATCH</v>
      </c>
      <c r="C86" s="7" t="str">
        <f>IF(C84= SUMIF('Spotlight Data Sheet Summary'!$A:$A,2018,'Spotlight Data Sheet Summary'!E:E),"MATCH","ERROR")</f>
        <v>MATCH</v>
      </c>
      <c r="D86" s="7"/>
      <c r="F86" s="7" t="str">
        <f>IF(F84= SUMIF('Spotlight Data Sheet Summary'!$A:$A,2019,'Spotlight Data Sheet Summary'!D:D),"MATCH","ERROR")</f>
        <v>MATCH</v>
      </c>
      <c r="G86" s="7" t="str">
        <f>IF(G84= SUMIF('Spotlight Data Sheet Summary'!$A:$A,2019,'Spotlight Data Sheet Summary'!E:E),"MATCH","ERROR")</f>
        <v>MATCH</v>
      </c>
      <c r="H86" s="7"/>
      <c r="M86" s="7" t="str">
        <f>IF(M84= SUMIF('Spotlight Data Sheet Summary'!$A:$A,2020,'Spotlight Data Sheet Summary'!D:D),"MATCH","ERROR")</f>
        <v>MATCH</v>
      </c>
      <c r="N86" s="7" t="str">
        <f>IF(N84= SUMIF('Spotlight Data Sheet Summary'!$A:$A,2020,'Spotlight Data Sheet Summary'!E:E),"MATCH","ERROR")</f>
        <v>MATCH</v>
      </c>
      <c r="O86" s="7"/>
    </row>
    <row r="87" spans="1:15" ht="13" x14ac:dyDescent="0.15">
      <c r="B87" s="5"/>
      <c r="C87" s="5"/>
      <c r="D87" s="5"/>
    </row>
    <row r="88" spans="1:15" ht="13" x14ac:dyDescent="0.15">
      <c r="B88" s="5"/>
      <c r="C88" s="5"/>
      <c r="D88" s="5"/>
    </row>
    <row r="89" spans="1:15" ht="13" x14ac:dyDescent="0.15">
      <c r="B89" s="5"/>
      <c r="C89" s="5"/>
      <c r="D89" s="5"/>
    </row>
    <row r="90" spans="1:15" ht="13" x14ac:dyDescent="0.15">
      <c r="B90" s="5"/>
      <c r="C90" s="5"/>
      <c r="D90" s="5"/>
    </row>
    <row r="91" spans="1:15" ht="13" x14ac:dyDescent="0.15">
      <c r="B91" s="5"/>
      <c r="C91" s="5"/>
      <c r="D91" s="5"/>
    </row>
    <row r="92" spans="1:15" ht="13" x14ac:dyDescent="0.15">
      <c r="B92" s="5"/>
      <c r="C92" s="5"/>
      <c r="D92" s="5"/>
    </row>
    <row r="93" spans="1:15" ht="13" x14ac:dyDescent="0.15">
      <c r="B93" s="5"/>
      <c r="C93" s="5"/>
      <c r="D93" s="5"/>
    </row>
    <row r="94" spans="1:15" ht="13" x14ac:dyDescent="0.15">
      <c r="B94" s="5"/>
      <c r="C94" s="5"/>
      <c r="D94" s="5"/>
    </row>
    <row r="95" spans="1:15" ht="13" x14ac:dyDescent="0.15">
      <c r="B95" s="5"/>
      <c r="C95" s="5"/>
      <c r="D95" s="5"/>
    </row>
    <row r="96" spans="1:15" ht="13" x14ac:dyDescent="0.15">
      <c r="B96" s="5"/>
      <c r="C96" s="5"/>
      <c r="D96" s="5"/>
    </row>
    <row r="97" spans="2:4" ht="13" x14ac:dyDescent="0.15">
      <c r="B97" s="5"/>
      <c r="C97" s="5"/>
      <c r="D97" s="5"/>
    </row>
    <row r="98" spans="2:4" ht="13" x14ac:dyDescent="0.15">
      <c r="B98" s="5"/>
      <c r="C98" s="5"/>
      <c r="D98" s="5"/>
    </row>
    <row r="99" spans="2:4" ht="13" x14ac:dyDescent="0.15">
      <c r="B99" s="5"/>
      <c r="C99" s="5"/>
      <c r="D99" s="5"/>
    </row>
    <row r="100" spans="2:4" ht="13" x14ac:dyDescent="0.15">
      <c r="B100" s="5"/>
      <c r="C100" s="5"/>
      <c r="D100" s="5"/>
    </row>
  </sheetData>
  <mergeCells count="3">
    <mergeCell ref="B5:D5"/>
    <mergeCell ref="F5:H5"/>
    <mergeCell ref="M5:O5"/>
  </mergeCells>
  <conditionalFormatting sqref="K1:K100">
    <cfRule type="cellIs" dxfId="1" priority="1" operator="greaterThanOrEqual">
      <formula>"100%"</formula>
    </cfRule>
  </conditionalFormatting>
  <conditionalFormatting sqref="K1:K100">
    <cfRule type="cellIs" dxfId="0" priority="2" operator="lessThanOrEqual">
      <formula>"-100%"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15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2" max="2" width="29" customWidth="1"/>
    <col min="3" max="3" width="48.6640625" customWidth="1"/>
  </cols>
  <sheetData>
    <row r="1" spans="1:5" ht="15.75" customHeight="1" x14ac:dyDescent="0.15">
      <c r="A1" s="11" t="s">
        <v>74</v>
      </c>
      <c r="B1" s="11" t="s">
        <v>75</v>
      </c>
      <c r="C1" s="11" t="s">
        <v>76</v>
      </c>
      <c r="D1" s="11" t="s">
        <v>77</v>
      </c>
      <c r="E1" s="11" t="s">
        <v>78</v>
      </c>
    </row>
    <row r="2" spans="1:5" ht="15.75" customHeight="1" x14ac:dyDescent="0.15">
      <c r="A2" s="4">
        <v>2017</v>
      </c>
      <c r="B2" s="4" t="s">
        <v>11</v>
      </c>
      <c r="C2" s="4" t="s">
        <v>37</v>
      </c>
      <c r="D2" s="12">
        <v>12386</v>
      </c>
      <c r="E2" s="4" t="s">
        <v>79</v>
      </c>
    </row>
    <row r="3" spans="1:5" ht="15.75" customHeight="1" x14ac:dyDescent="0.15">
      <c r="A3" s="4">
        <v>2017</v>
      </c>
      <c r="B3" s="4" t="s">
        <v>11</v>
      </c>
      <c r="C3" s="4" t="s">
        <v>37</v>
      </c>
      <c r="D3" s="12">
        <v>77600</v>
      </c>
      <c r="E3" s="4" t="s">
        <v>79</v>
      </c>
    </row>
    <row r="4" spans="1:5" ht="15.75" customHeight="1" x14ac:dyDescent="0.15">
      <c r="A4" s="4">
        <v>2018</v>
      </c>
      <c r="B4" s="4" t="s">
        <v>11</v>
      </c>
      <c r="C4" s="4" t="s">
        <v>37</v>
      </c>
      <c r="D4" s="12">
        <v>273600</v>
      </c>
      <c r="E4" s="4" t="s">
        <v>80</v>
      </c>
    </row>
    <row r="5" spans="1:5" ht="15.75" customHeight="1" x14ac:dyDescent="0.15">
      <c r="A5" s="4">
        <v>2019</v>
      </c>
      <c r="B5" s="4" t="s">
        <v>11</v>
      </c>
      <c r="C5" s="4" t="s">
        <v>37</v>
      </c>
      <c r="D5" s="12">
        <v>242250</v>
      </c>
      <c r="E5" s="4" t="s">
        <v>79</v>
      </c>
    </row>
    <row r="6" spans="1:5" ht="15.75" customHeight="1" x14ac:dyDescent="0.15">
      <c r="A6" s="4">
        <v>2020</v>
      </c>
      <c r="B6" s="4" t="s">
        <v>11</v>
      </c>
      <c r="C6" s="4" t="s">
        <v>37</v>
      </c>
      <c r="D6" s="12">
        <v>37200</v>
      </c>
      <c r="E6" s="4" t="s">
        <v>80</v>
      </c>
    </row>
    <row r="7" spans="1:5" ht="15.75" customHeight="1" x14ac:dyDescent="0.15">
      <c r="A7" s="4">
        <v>2017</v>
      </c>
      <c r="B7" s="4" t="s">
        <v>10</v>
      </c>
      <c r="C7" s="4" t="s">
        <v>33</v>
      </c>
      <c r="D7" s="4" t="s">
        <v>79</v>
      </c>
      <c r="E7" s="12">
        <v>6070</v>
      </c>
    </row>
    <row r="8" spans="1:5" ht="15.75" customHeight="1" x14ac:dyDescent="0.15">
      <c r="A8" s="4">
        <v>2017</v>
      </c>
      <c r="B8" s="4" t="s">
        <v>10</v>
      </c>
      <c r="C8" s="4" t="s">
        <v>33</v>
      </c>
      <c r="D8" s="4" t="s">
        <v>79</v>
      </c>
      <c r="E8" s="12">
        <v>11903</v>
      </c>
    </row>
    <row r="9" spans="1:5" ht="15.75" customHeight="1" x14ac:dyDescent="0.15">
      <c r="A9" s="4">
        <v>2018</v>
      </c>
      <c r="B9" s="4" t="s">
        <v>10</v>
      </c>
      <c r="C9" s="4" t="s">
        <v>33</v>
      </c>
      <c r="D9" s="4" t="s">
        <v>80</v>
      </c>
      <c r="E9" s="12">
        <v>170122</v>
      </c>
    </row>
    <row r="10" spans="1:5" ht="15.75" customHeight="1" x14ac:dyDescent="0.15">
      <c r="A10" s="4">
        <v>2019</v>
      </c>
      <c r="B10" s="4" t="s">
        <v>10</v>
      </c>
      <c r="C10" s="4" t="s">
        <v>33</v>
      </c>
      <c r="D10" s="4" t="s">
        <v>79</v>
      </c>
      <c r="E10" s="12">
        <v>372863</v>
      </c>
    </row>
    <row r="11" spans="1:5" ht="15.75" customHeight="1" x14ac:dyDescent="0.15">
      <c r="A11" s="4">
        <v>2020</v>
      </c>
      <c r="B11" s="4" t="s">
        <v>10</v>
      </c>
      <c r="C11" s="4" t="s">
        <v>33</v>
      </c>
      <c r="D11" s="4" t="s">
        <v>80</v>
      </c>
      <c r="E11" s="12">
        <v>72806</v>
      </c>
    </row>
    <row r="12" spans="1:5" ht="15.75" customHeight="1" x14ac:dyDescent="0.15">
      <c r="A12" s="4">
        <v>2017</v>
      </c>
      <c r="B12" s="4" t="s">
        <v>12</v>
      </c>
      <c r="C12" s="4" t="s">
        <v>42</v>
      </c>
      <c r="D12" s="12">
        <v>1401</v>
      </c>
      <c r="E12" s="4" t="s">
        <v>79</v>
      </c>
    </row>
    <row r="13" spans="1:5" ht="15.75" customHeight="1" x14ac:dyDescent="0.15">
      <c r="A13" s="4">
        <v>2017</v>
      </c>
      <c r="B13" s="4" t="s">
        <v>12</v>
      </c>
      <c r="C13" s="4" t="s">
        <v>42</v>
      </c>
      <c r="D13" s="12">
        <v>1671</v>
      </c>
      <c r="E13" s="4" t="s">
        <v>79</v>
      </c>
    </row>
    <row r="14" spans="1:5" ht="15.75" customHeight="1" x14ac:dyDescent="0.15">
      <c r="A14" s="4">
        <v>2018</v>
      </c>
      <c r="B14" s="4" t="s">
        <v>12</v>
      </c>
      <c r="C14" s="4" t="s">
        <v>42</v>
      </c>
      <c r="D14" s="12">
        <v>93150</v>
      </c>
      <c r="E14" s="4" t="s">
        <v>80</v>
      </c>
    </row>
    <row r="15" spans="1:5" ht="15.75" customHeight="1" x14ac:dyDescent="0.15">
      <c r="A15" s="4">
        <v>2019</v>
      </c>
      <c r="B15" s="4" t="s">
        <v>12</v>
      </c>
      <c r="C15" s="4" t="s">
        <v>42</v>
      </c>
      <c r="D15" s="12">
        <v>230412</v>
      </c>
      <c r="E15" s="4" t="s">
        <v>79</v>
      </c>
    </row>
    <row r="16" spans="1:5" ht="15.75" customHeight="1" x14ac:dyDescent="0.15">
      <c r="A16" s="4">
        <v>2020</v>
      </c>
      <c r="B16" s="4" t="s">
        <v>12</v>
      </c>
      <c r="C16" s="4" t="s">
        <v>42</v>
      </c>
      <c r="D16" s="12">
        <v>25406</v>
      </c>
      <c r="E16" s="4" t="s">
        <v>80</v>
      </c>
    </row>
    <row r="17" spans="1:5" ht="15.75" customHeight="1" x14ac:dyDescent="0.15">
      <c r="A17" s="4">
        <v>2017</v>
      </c>
      <c r="B17" s="4" t="s">
        <v>12</v>
      </c>
      <c r="C17" s="4" t="s">
        <v>43</v>
      </c>
      <c r="D17" s="4" t="s">
        <v>79</v>
      </c>
      <c r="E17" s="4" t="s">
        <v>79</v>
      </c>
    </row>
    <row r="18" spans="1:5" ht="15.75" customHeight="1" x14ac:dyDescent="0.15">
      <c r="A18" s="4">
        <v>2017</v>
      </c>
      <c r="B18" s="4" t="s">
        <v>12</v>
      </c>
      <c r="C18" s="4" t="s">
        <v>43</v>
      </c>
      <c r="D18" s="12">
        <v>3465</v>
      </c>
      <c r="E18" s="4" t="s">
        <v>79</v>
      </c>
    </row>
    <row r="19" spans="1:5" ht="15.75" customHeight="1" x14ac:dyDescent="0.15">
      <c r="A19" s="4">
        <v>2018</v>
      </c>
      <c r="B19" s="4" t="s">
        <v>12</v>
      </c>
      <c r="C19" s="4" t="s">
        <v>43</v>
      </c>
      <c r="D19" s="12">
        <v>61967</v>
      </c>
      <c r="E19" s="4" t="s">
        <v>80</v>
      </c>
    </row>
    <row r="20" spans="1:5" ht="15.75" customHeight="1" x14ac:dyDescent="0.15">
      <c r="A20" s="4">
        <v>2019</v>
      </c>
      <c r="B20" s="4" t="s">
        <v>12</v>
      </c>
      <c r="C20" s="4" t="s">
        <v>43</v>
      </c>
      <c r="D20" s="12">
        <v>58285</v>
      </c>
      <c r="E20" s="12">
        <v>1623</v>
      </c>
    </row>
    <row r="21" spans="1:5" ht="15.75" customHeight="1" x14ac:dyDescent="0.15">
      <c r="A21" s="4">
        <v>2020</v>
      </c>
      <c r="B21" s="4" t="s">
        <v>12</v>
      </c>
      <c r="C21" s="4" t="s">
        <v>43</v>
      </c>
      <c r="D21" s="12">
        <v>250</v>
      </c>
      <c r="E21" s="4" t="s">
        <v>80</v>
      </c>
    </row>
    <row r="22" spans="1:5" ht="15.75" customHeight="1" x14ac:dyDescent="0.15">
      <c r="A22" s="4">
        <v>2017</v>
      </c>
      <c r="B22" s="4" t="s">
        <v>11</v>
      </c>
      <c r="C22" s="4" t="s">
        <v>38</v>
      </c>
      <c r="D22" s="12">
        <v>616</v>
      </c>
      <c r="E22" s="4" t="s">
        <v>79</v>
      </c>
    </row>
    <row r="23" spans="1:5" ht="15.75" customHeight="1" x14ac:dyDescent="0.15">
      <c r="A23" s="4">
        <v>2017</v>
      </c>
      <c r="B23" s="4" t="s">
        <v>11</v>
      </c>
      <c r="C23" s="4" t="s">
        <v>38</v>
      </c>
      <c r="D23" s="12">
        <v>3321</v>
      </c>
      <c r="E23" s="4" t="s">
        <v>79</v>
      </c>
    </row>
    <row r="24" spans="1:5" ht="15.75" customHeight="1" x14ac:dyDescent="0.15">
      <c r="A24" s="4">
        <v>2018</v>
      </c>
      <c r="B24" s="4" t="s">
        <v>11</v>
      </c>
      <c r="C24" s="4" t="s">
        <v>38</v>
      </c>
      <c r="D24" s="12">
        <v>13954</v>
      </c>
      <c r="E24" s="4" t="s">
        <v>80</v>
      </c>
    </row>
    <row r="25" spans="1:5" ht="15.75" customHeight="1" x14ac:dyDescent="0.15">
      <c r="A25" s="4">
        <v>2019</v>
      </c>
      <c r="B25" s="4" t="s">
        <v>11</v>
      </c>
      <c r="C25" s="4" t="s">
        <v>38</v>
      </c>
      <c r="D25" s="12">
        <v>16652</v>
      </c>
      <c r="E25" s="4" t="s">
        <v>79</v>
      </c>
    </row>
    <row r="26" spans="1:5" ht="15.75" customHeight="1" x14ac:dyDescent="0.15">
      <c r="A26" s="4">
        <v>2020</v>
      </c>
      <c r="B26" s="4" t="s">
        <v>11</v>
      </c>
      <c r="C26" s="4" t="s">
        <v>38</v>
      </c>
      <c r="D26" s="12">
        <v>2754</v>
      </c>
      <c r="E26" s="4" t="s">
        <v>80</v>
      </c>
    </row>
    <row r="27" spans="1:5" ht="15.75" customHeight="1" x14ac:dyDescent="0.15">
      <c r="A27" s="4">
        <v>2017</v>
      </c>
      <c r="B27" s="4" t="s">
        <v>10</v>
      </c>
      <c r="C27" s="4" t="s">
        <v>34</v>
      </c>
      <c r="D27" s="4" t="s">
        <v>79</v>
      </c>
      <c r="E27" s="12">
        <v>533</v>
      </c>
    </row>
    <row r="28" spans="1:5" ht="15.75" customHeight="1" x14ac:dyDescent="0.15">
      <c r="A28" s="4">
        <v>2017</v>
      </c>
      <c r="B28" s="4" t="s">
        <v>10</v>
      </c>
      <c r="C28" s="4" t="s">
        <v>34</v>
      </c>
      <c r="D28" s="4" t="s">
        <v>79</v>
      </c>
      <c r="E28" s="4" t="s">
        <v>79</v>
      </c>
    </row>
    <row r="29" spans="1:5" ht="15.75" customHeight="1" x14ac:dyDescent="0.15">
      <c r="A29" s="4">
        <v>2018</v>
      </c>
      <c r="B29" s="4" t="s">
        <v>10</v>
      </c>
      <c r="C29" s="4" t="s">
        <v>34</v>
      </c>
      <c r="D29" s="4" t="s">
        <v>80</v>
      </c>
      <c r="E29" s="12">
        <v>14796</v>
      </c>
    </row>
    <row r="30" spans="1:5" ht="15.75" customHeight="1" x14ac:dyDescent="0.15">
      <c r="A30" s="4">
        <v>2019</v>
      </c>
      <c r="B30" s="4" t="s">
        <v>10</v>
      </c>
      <c r="C30" s="4" t="s">
        <v>34</v>
      </c>
      <c r="D30" s="4" t="s">
        <v>79</v>
      </c>
      <c r="E30" s="12">
        <v>40524</v>
      </c>
    </row>
    <row r="31" spans="1:5" ht="15.75" customHeight="1" x14ac:dyDescent="0.15">
      <c r="A31" s="4">
        <v>2020</v>
      </c>
      <c r="B31" s="4" t="s">
        <v>10</v>
      </c>
      <c r="C31" s="4" t="s">
        <v>34</v>
      </c>
      <c r="D31" s="4" t="s">
        <v>80</v>
      </c>
      <c r="E31" s="12">
        <v>2224</v>
      </c>
    </row>
    <row r="32" spans="1:5" ht="15.75" customHeight="1" x14ac:dyDescent="0.15">
      <c r="A32" s="4">
        <v>2017</v>
      </c>
      <c r="B32" s="4" t="s">
        <v>11</v>
      </c>
      <c r="C32" s="4" t="s">
        <v>39</v>
      </c>
      <c r="D32" s="12">
        <v>70</v>
      </c>
      <c r="E32" s="4" t="s">
        <v>79</v>
      </c>
    </row>
    <row r="33" spans="1:5" ht="15.75" customHeight="1" x14ac:dyDescent="0.15">
      <c r="A33" s="4">
        <v>2017</v>
      </c>
      <c r="B33" s="4" t="s">
        <v>11</v>
      </c>
      <c r="C33" s="4" t="s">
        <v>39</v>
      </c>
      <c r="D33" s="12">
        <v>182</v>
      </c>
      <c r="E33" s="4" t="s">
        <v>79</v>
      </c>
    </row>
    <row r="34" spans="1:5" ht="15.75" customHeight="1" x14ac:dyDescent="0.15">
      <c r="A34" s="4">
        <v>2018</v>
      </c>
      <c r="B34" s="4" t="s">
        <v>11</v>
      </c>
      <c r="C34" s="4" t="s">
        <v>39</v>
      </c>
      <c r="D34" s="12">
        <v>819</v>
      </c>
      <c r="E34" s="4" t="s">
        <v>80</v>
      </c>
    </row>
    <row r="35" spans="1:5" ht="15.75" customHeight="1" x14ac:dyDescent="0.15">
      <c r="A35" s="4">
        <v>2019</v>
      </c>
      <c r="B35" s="4" t="s">
        <v>11</v>
      </c>
      <c r="C35" s="4" t="s">
        <v>39</v>
      </c>
      <c r="D35" s="12">
        <v>1010</v>
      </c>
      <c r="E35" s="4" t="s">
        <v>79</v>
      </c>
    </row>
    <row r="36" spans="1:5" ht="15.75" customHeight="1" x14ac:dyDescent="0.15">
      <c r="A36" s="4">
        <v>2020</v>
      </c>
      <c r="B36" s="4" t="s">
        <v>11</v>
      </c>
      <c r="C36" s="4" t="s">
        <v>39</v>
      </c>
      <c r="D36" s="12">
        <v>203</v>
      </c>
      <c r="E36" s="4" t="s">
        <v>80</v>
      </c>
    </row>
    <row r="37" spans="1:5" ht="15.75" customHeight="1" x14ac:dyDescent="0.15">
      <c r="A37" s="4">
        <v>2018</v>
      </c>
      <c r="B37" s="4" t="s">
        <v>11</v>
      </c>
      <c r="C37" s="4" t="s">
        <v>40</v>
      </c>
      <c r="D37" s="12">
        <v>10800</v>
      </c>
      <c r="E37" s="4" t="s">
        <v>80</v>
      </c>
    </row>
    <row r="38" spans="1:5" ht="15.75" customHeight="1" x14ac:dyDescent="0.15">
      <c r="A38" s="4">
        <v>2017</v>
      </c>
      <c r="B38" s="4" t="s">
        <v>15</v>
      </c>
      <c r="C38" s="4" t="s">
        <v>53</v>
      </c>
      <c r="D38" s="4" t="s">
        <v>79</v>
      </c>
      <c r="E38" s="4" t="s">
        <v>79</v>
      </c>
    </row>
    <row r="39" spans="1:5" ht="15.75" customHeight="1" x14ac:dyDescent="0.15">
      <c r="A39" s="4">
        <v>2017</v>
      </c>
      <c r="B39" s="4" t="s">
        <v>15</v>
      </c>
      <c r="C39" s="4" t="s">
        <v>53</v>
      </c>
      <c r="D39" s="4" t="s">
        <v>79</v>
      </c>
      <c r="E39" s="12">
        <v>1484</v>
      </c>
    </row>
    <row r="40" spans="1:5" ht="15.75" customHeight="1" x14ac:dyDescent="0.15">
      <c r="A40" s="4">
        <v>2018</v>
      </c>
      <c r="B40" s="4" t="s">
        <v>15</v>
      </c>
      <c r="C40" s="4" t="s">
        <v>53</v>
      </c>
      <c r="D40" s="12">
        <v>3521</v>
      </c>
      <c r="E40" s="12">
        <v>1616</v>
      </c>
    </row>
    <row r="41" spans="1:5" ht="15.75" customHeight="1" x14ac:dyDescent="0.15">
      <c r="A41" s="4">
        <v>2019</v>
      </c>
      <c r="B41" s="4" t="s">
        <v>15</v>
      </c>
      <c r="C41" s="4" t="s">
        <v>53</v>
      </c>
      <c r="D41" s="12">
        <v>9535</v>
      </c>
      <c r="E41" s="12">
        <v>12792</v>
      </c>
    </row>
    <row r="42" spans="1:5" ht="15.75" customHeight="1" x14ac:dyDescent="0.15">
      <c r="A42" s="4">
        <v>2020</v>
      </c>
      <c r="B42" s="4" t="s">
        <v>15</v>
      </c>
      <c r="C42" s="4" t="s">
        <v>53</v>
      </c>
      <c r="D42" s="12">
        <v>4013</v>
      </c>
      <c r="E42" s="12">
        <v>302</v>
      </c>
    </row>
    <row r="43" spans="1:5" ht="15.75" customHeight="1" x14ac:dyDescent="0.15">
      <c r="A43" s="4">
        <v>2017</v>
      </c>
      <c r="B43" s="4" t="s">
        <v>10</v>
      </c>
      <c r="C43" s="4" t="s">
        <v>35</v>
      </c>
      <c r="D43" s="4" t="s">
        <v>79</v>
      </c>
      <c r="E43" s="4" t="s">
        <v>79</v>
      </c>
    </row>
    <row r="44" spans="1:5" ht="15.75" customHeight="1" x14ac:dyDescent="0.15">
      <c r="A44" s="4">
        <v>2017</v>
      </c>
      <c r="B44" s="4" t="s">
        <v>10</v>
      </c>
      <c r="C44" s="4" t="s">
        <v>35</v>
      </c>
      <c r="D44" s="4" t="s">
        <v>79</v>
      </c>
      <c r="E44" s="4" t="s">
        <v>79</v>
      </c>
    </row>
    <row r="45" spans="1:5" ht="15.75" customHeight="1" x14ac:dyDescent="0.15">
      <c r="A45" s="4">
        <v>2018</v>
      </c>
      <c r="B45" s="4" t="s">
        <v>10</v>
      </c>
      <c r="C45" s="4" t="s">
        <v>35</v>
      </c>
      <c r="D45" s="4" t="s">
        <v>80</v>
      </c>
      <c r="E45" s="12">
        <v>35732</v>
      </c>
    </row>
    <row r="46" spans="1:5" ht="15.75" customHeight="1" x14ac:dyDescent="0.15">
      <c r="A46" s="4">
        <v>2019</v>
      </c>
      <c r="B46" s="4" t="s">
        <v>10</v>
      </c>
      <c r="C46" s="4" t="s">
        <v>35</v>
      </c>
      <c r="D46" s="4" t="s">
        <v>79</v>
      </c>
      <c r="E46" s="12">
        <v>69666</v>
      </c>
    </row>
    <row r="47" spans="1:5" ht="15.75" customHeight="1" x14ac:dyDescent="0.15">
      <c r="A47" s="4">
        <v>2017</v>
      </c>
      <c r="B47" s="13" t="s">
        <v>15</v>
      </c>
      <c r="C47" s="4" t="s">
        <v>55</v>
      </c>
      <c r="D47" s="12">
        <v>52</v>
      </c>
      <c r="E47" s="12">
        <v>170</v>
      </c>
    </row>
    <row r="48" spans="1:5" ht="15.75" customHeight="1" x14ac:dyDescent="0.15">
      <c r="A48" s="4">
        <v>2017</v>
      </c>
      <c r="B48" s="13" t="s">
        <v>15</v>
      </c>
      <c r="C48" s="4" t="s">
        <v>55</v>
      </c>
      <c r="D48" s="12">
        <v>52</v>
      </c>
      <c r="E48" s="4" t="s">
        <v>79</v>
      </c>
    </row>
    <row r="49" spans="1:5" ht="15.75" customHeight="1" x14ac:dyDescent="0.15">
      <c r="A49" s="4">
        <v>2018</v>
      </c>
      <c r="B49" s="13" t="s">
        <v>15</v>
      </c>
      <c r="C49" s="4" t="s">
        <v>55</v>
      </c>
      <c r="D49" s="12">
        <v>16674</v>
      </c>
      <c r="E49" s="12">
        <v>2715</v>
      </c>
    </row>
    <row r="50" spans="1:5" ht="15.75" customHeight="1" x14ac:dyDescent="0.15">
      <c r="A50" s="4">
        <v>2019</v>
      </c>
      <c r="B50" s="13" t="s">
        <v>15</v>
      </c>
      <c r="C50" s="4" t="s">
        <v>55</v>
      </c>
      <c r="D50" s="12">
        <v>44621</v>
      </c>
      <c r="E50" s="12">
        <v>2528</v>
      </c>
    </row>
    <row r="51" spans="1:5" ht="15.75" customHeight="1" x14ac:dyDescent="0.15">
      <c r="A51" s="4">
        <v>2020</v>
      </c>
      <c r="B51" s="13" t="s">
        <v>15</v>
      </c>
      <c r="C51" s="4" t="s">
        <v>55</v>
      </c>
      <c r="D51" s="12">
        <v>256</v>
      </c>
      <c r="E51" s="4" t="s">
        <v>80</v>
      </c>
    </row>
    <row r="52" spans="1:5" ht="15.75" customHeight="1" x14ac:dyDescent="0.15">
      <c r="A52" s="4">
        <v>2017</v>
      </c>
      <c r="B52" s="13" t="s">
        <v>13</v>
      </c>
      <c r="C52" s="4" t="s">
        <v>47</v>
      </c>
      <c r="D52" s="12">
        <v>79</v>
      </c>
      <c r="E52" s="12">
        <v>232</v>
      </c>
    </row>
    <row r="53" spans="1:5" ht="15.75" customHeight="1" x14ac:dyDescent="0.15">
      <c r="A53" s="4">
        <v>2017</v>
      </c>
      <c r="B53" s="13" t="s">
        <v>13</v>
      </c>
      <c r="C53" s="4" t="s">
        <v>47</v>
      </c>
      <c r="D53" s="12">
        <v>28</v>
      </c>
      <c r="E53" s="12">
        <v>289</v>
      </c>
    </row>
    <row r="54" spans="1:5" ht="15.75" customHeight="1" x14ac:dyDescent="0.15">
      <c r="A54" s="4">
        <v>2018</v>
      </c>
      <c r="B54" s="13" t="s">
        <v>13</v>
      </c>
      <c r="C54" s="4" t="s">
        <v>47</v>
      </c>
      <c r="D54" s="12">
        <v>3842</v>
      </c>
      <c r="E54" s="12">
        <v>5069</v>
      </c>
    </row>
    <row r="55" spans="1:5" ht="15.75" customHeight="1" x14ac:dyDescent="0.15">
      <c r="A55" s="4">
        <v>2019</v>
      </c>
      <c r="B55" s="13" t="s">
        <v>13</v>
      </c>
      <c r="C55" s="4" t="s">
        <v>47</v>
      </c>
      <c r="D55" s="12">
        <v>2055</v>
      </c>
      <c r="E55" s="12">
        <v>2199</v>
      </c>
    </row>
    <row r="56" spans="1:5" ht="15.75" customHeight="1" x14ac:dyDescent="0.15">
      <c r="A56" s="4">
        <v>2020</v>
      </c>
      <c r="B56" s="13" t="s">
        <v>13</v>
      </c>
      <c r="C56" s="4" t="s">
        <v>47</v>
      </c>
      <c r="D56" s="12">
        <v>36</v>
      </c>
      <c r="E56" s="12">
        <v>558</v>
      </c>
    </row>
    <row r="57" spans="1:5" ht="13" x14ac:dyDescent="0.15">
      <c r="A57" s="4">
        <v>2017</v>
      </c>
      <c r="B57" s="13" t="s">
        <v>18</v>
      </c>
      <c r="C57" s="4" t="s">
        <v>67</v>
      </c>
      <c r="D57" s="4" t="s">
        <v>79</v>
      </c>
      <c r="E57" s="4" t="s">
        <v>79</v>
      </c>
    </row>
    <row r="58" spans="1:5" ht="13" x14ac:dyDescent="0.15">
      <c r="A58" s="4">
        <v>2017</v>
      </c>
      <c r="B58" s="13" t="s">
        <v>18</v>
      </c>
      <c r="C58" s="4" t="s">
        <v>67</v>
      </c>
      <c r="D58" s="12">
        <v>123</v>
      </c>
      <c r="E58" s="4" t="s">
        <v>79</v>
      </c>
    </row>
    <row r="59" spans="1:5" ht="13" x14ac:dyDescent="0.15">
      <c r="A59" s="4">
        <v>2017</v>
      </c>
      <c r="B59" s="4" t="s">
        <v>8</v>
      </c>
      <c r="C59" s="4" t="s">
        <v>28</v>
      </c>
      <c r="D59" s="4" t="s">
        <v>79</v>
      </c>
      <c r="E59" s="12">
        <v>2777</v>
      </c>
    </row>
    <row r="60" spans="1:5" ht="13" x14ac:dyDescent="0.15">
      <c r="A60" s="4">
        <v>2017</v>
      </c>
      <c r="B60" s="4" t="s">
        <v>8</v>
      </c>
      <c r="C60" s="4" t="s">
        <v>28</v>
      </c>
      <c r="D60" s="4" t="s">
        <v>79</v>
      </c>
      <c r="E60" s="12">
        <v>115</v>
      </c>
    </row>
    <row r="61" spans="1:5" ht="13" x14ac:dyDescent="0.15">
      <c r="A61" s="4">
        <v>2018</v>
      </c>
      <c r="B61" s="4" t="s">
        <v>8</v>
      </c>
      <c r="C61" s="4" t="s">
        <v>28</v>
      </c>
      <c r="D61" s="12">
        <v>32</v>
      </c>
      <c r="E61" s="12">
        <v>8893</v>
      </c>
    </row>
    <row r="62" spans="1:5" ht="13" x14ac:dyDescent="0.15">
      <c r="A62" s="4">
        <v>2019</v>
      </c>
      <c r="B62" s="4" t="s">
        <v>8</v>
      </c>
      <c r="C62" s="4" t="s">
        <v>28</v>
      </c>
      <c r="D62" s="4" t="s">
        <v>79</v>
      </c>
      <c r="E62" s="12">
        <v>9196</v>
      </c>
    </row>
    <row r="63" spans="1:5" ht="13" x14ac:dyDescent="0.15">
      <c r="A63" s="4">
        <v>2020</v>
      </c>
      <c r="B63" s="4" t="s">
        <v>8</v>
      </c>
      <c r="C63" s="4" t="s">
        <v>28</v>
      </c>
      <c r="D63" s="4" t="s">
        <v>80</v>
      </c>
      <c r="E63" s="12">
        <v>1015</v>
      </c>
    </row>
    <row r="64" spans="1:5" ht="13" x14ac:dyDescent="0.15">
      <c r="A64" s="4">
        <v>2017</v>
      </c>
      <c r="B64" s="4" t="s">
        <v>7</v>
      </c>
      <c r="C64" s="4" t="s">
        <v>22</v>
      </c>
      <c r="D64" s="4" t="s">
        <v>79</v>
      </c>
      <c r="E64" s="12">
        <v>10887</v>
      </c>
    </row>
    <row r="65" spans="1:5" ht="13" x14ac:dyDescent="0.15">
      <c r="A65" s="4">
        <v>2017</v>
      </c>
      <c r="B65" s="4" t="s">
        <v>7</v>
      </c>
      <c r="C65" s="4" t="s">
        <v>22</v>
      </c>
      <c r="D65" s="4" t="s">
        <v>79</v>
      </c>
      <c r="E65" s="12">
        <v>15987</v>
      </c>
    </row>
    <row r="66" spans="1:5" ht="13" x14ac:dyDescent="0.15">
      <c r="A66" s="4">
        <v>2018</v>
      </c>
      <c r="B66" s="4" t="s">
        <v>7</v>
      </c>
      <c r="C66" s="4" t="s">
        <v>22</v>
      </c>
      <c r="D66" s="4" t="s">
        <v>80</v>
      </c>
      <c r="E66" s="12">
        <v>302649</v>
      </c>
    </row>
    <row r="67" spans="1:5" ht="13" x14ac:dyDescent="0.15">
      <c r="A67" s="4">
        <v>2019</v>
      </c>
      <c r="B67" s="4" t="s">
        <v>7</v>
      </c>
      <c r="C67" s="4" t="s">
        <v>24</v>
      </c>
      <c r="D67" s="4" t="s">
        <v>79</v>
      </c>
      <c r="E67" s="12">
        <v>412625</v>
      </c>
    </row>
    <row r="68" spans="1:5" ht="13" x14ac:dyDescent="0.15">
      <c r="A68" s="4">
        <v>2020</v>
      </c>
      <c r="B68" s="4" t="s">
        <v>7</v>
      </c>
      <c r="C68" s="4" t="s">
        <v>24</v>
      </c>
      <c r="D68" s="4" t="s">
        <v>80</v>
      </c>
      <c r="E68" s="12">
        <v>54752</v>
      </c>
    </row>
    <row r="69" spans="1:5" ht="13" x14ac:dyDescent="0.15">
      <c r="A69" s="4">
        <v>2019</v>
      </c>
      <c r="B69" s="4" t="s">
        <v>7</v>
      </c>
      <c r="C69" s="4" t="s">
        <v>25</v>
      </c>
      <c r="D69" s="4" t="s">
        <v>79</v>
      </c>
      <c r="E69" s="12">
        <v>192111</v>
      </c>
    </row>
    <row r="70" spans="1:5" ht="13" x14ac:dyDescent="0.15">
      <c r="A70" s="4">
        <v>2020</v>
      </c>
      <c r="B70" s="4" t="s">
        <v>7</v>
      </c>
      <c r="C70" s="4" t="s">
        <v>25</v>
      </c>
      <c r="D70" s="4" t="s">
        <v>80</v>
      </c>
      <c r="E70" s="12">
        <v>9921</v>
      </c>
    </row>
    <row r="71" spans="1:5" ht="13" x14ac:dyDescent="0.15">
      <c r="A71" s="4">
        <v>2017</v>
      </c>
      <c r="B71" s="13" t="s">
        <v>18</v>
      </c>
      <c r="C71" s="4" t="s">
        <v>68</v>
      </c>
      <c r="D71" s="4" t="s">
        <v>79</v>
      </c>
      <c r="E71" s="4" t="s">
        <v>79</v>
      </c>
    </row>
    <row r="72" spans="1:5" ht="13" x14ac:dyDescent="0.15">
      <c r="A72" s="4">
        <v>2017</v>
      </c>
      <c r="B72" s="13" t="s">
        <v>18</v>
      </c>
      <c r="C72" s="4" t="s">
        <v>68</v>
      </c>
      <c r="D72" s="4" t="s">
        <v>79</v>
      </c>
      <c r="E72" s="12">
        <v>5</v>
      </c>
    </row>
    <row r="73" spans="1:5" ht="13" x14ac:dyDescent="0.15">
      <c r="A73" s="4">
        <v>2018</v>
      </c>
      <c r="B73" s="13" t="s">
        <v>18</v>
      </c>
      <c r="C73" s="4" t="s">
        <v>68</v>
      </c>
      <c r="D73" s="4" t="s">
        <v>80</v>
      </c>
      <c r="E73" s="12">
        <v>13</v>
      </c>
    </row>
    <row r="74" spans="1:5" ht="13" x14ac:dyDescent="0.15">
      <c r="A74" s="4">
        <v>2017</v>
      </c>
      <c r="B74" s="4" t="s">
        <v>8</v>
      </c>
      <c r="C74" s="4" t="s">
        <v>29</v>
      </c>
      <c r="D74" s="4" t="s">
        <v>79</v>
      </c>
      <c r="E74" s="12">
        <v>421</v>
      </c>
    </row>
    <row r="75" spans="1:5" ht="13" x14ac:dyDescent="0.15">
      <c r="A75" s="4">
        <v>2017</v>
      </c>
      <c r="B75" s="4" t="s">
        <v>8</v>
      </c>
      <c r="C75" s="4" t="s">
        <v>29</v>
      </c>
      <c r="D75" s="4" t="s">
        <v>79</v>
      </c>
      <c r="E75" s="12">
        <v>340</v>
      </c>
    </row>
    <row r="76" spans="1:5" ht="13" x14ac:dyDescent="0.15">
      <c r="A76" s="4">
        <v>2018</v>
      </c>
      <c r="B76" s="4" t="s">
        <v>8</v>
      </c>
      <c r="C76" s="4" t="s">
        <v>29</v>
      </c>
      <c r="D76" s="4" t="s">
        <v>80</v>
      </c>
      <c r="E76" s="12">
        <v>19749</v>
      </c>
    </row>
    <row r="77" spans="1:5" ht="13" x14ac:dyDescent="0.15">
      <c r="A77" s="4">
        <v>2019</v>
      </c>
      <c r="B77" s="4" t="s">
        <v>8</v>
      </c>
      <c r="C77" s="4" t="s">
        <v>29</v>
      </c>
      <c r="D77" s="4" t="s">
        <v>79</v>
      </c>
      <c r="E77" s="12">
        <v>28938</v>
      </c>
    </row>
    <row r="78" spans="1:5" ht="13" x14ac:dyDescent="0.15">
      <c r="A78" s="4">
        <v>2020</v>
      </c>
      <c r="B78" s="4" t="s">
        <v>8</v>
      </c>
      <c r="C78" s="4" t="s">
        <v>29</v>
      </c>
      <c r="D78" s="4" t="s">
        <v>80</v>
      </c>
      <c r="E78" s="12">
        <v>4570</v>
      </c>
    </row>
    <row r="79" spans="1:5" ht="13" x14ac:dyDescent="0.15">
      <c r="A79" s="4">
        <v>2018</v>
      </c>
      <c r="B79" s="13" t="s">
        <v>18</v>
      </c>
      <c r="C79" s="4" t="s">
        <v>69</v>
      </c>
      <c r="D79" s="4" t="s">
        <v>80</v>
      </c>
      <c r="E79" s="12">
        <v>396</v>
      </c>
    </row>
    <row r="80" spans="1:5" ht="13" x14ac:dyDescent="0.15">
      <c r="A80" s="4">
        <v>2019</v>
      </c>
      <c r="B80" s="4" t="s">
        <v>7</v>
      </c>
      <c r="C80" s="4" t="s">
        <v>26</v>
      </c>
      <c r="D80" s="12">
        <v>198</v>
      </c>
      <c r="E80" s="12">
        <v>35341</v>
      </c>
    </row>
    <row r="81" spans="1:5" ht="13" x14ac:dyDescent="0.15">
      <c r="A81" s="4">
        <v>2020</v>
      </c>
      <c r="B81" s="4" t="s">
        <v>7</v>
      </c>
      <c r="C81" s="4" t="s">
        <v>26</v>
      </c>
      <c r="D81" s="4" t="s">
        <v>80</v>
      </c>
      <c r="E81" s="12">
        <v>2749</v>
      </c>
    </row>
    <row r="82" spans="1:5" ht="13" x14ac:dyDescent="0.15">
      <c r="A82" s="4">
        <v>2017</v>
      </c>
      <c r="B82" s="13" t="s">
        <v>15</v>
      </c>
      <c r="C82" s="4" t="s">
        <v>54</v>
      </c>
      <c r="D82" s="4" t="s">
        <v>79</v>
      </c>
      <c r="E82" s="4" t="s">
        <v>79</v>
      </c>
    </row>
    <row r="83" spans="1:5" ht="13" x14ac:dyDescent="0.15">
      <c r="A83" s="4">
        <v>2017</v>
      </c>
      <c r="B83" s="13" t="s">
        <v>15</v>
      </c>
      <c r="C83" s="4" t="s">
        <v>54</v>
      </c>
      <c r="D83" s="4" t="s">
        <v>79</v>
      </c>
      <c r="E83" s="12">
        <v>1761</v>
      </c>
    </row>
    <row r="84" spans="1:5" ht="13" x14ac:dyDescent="0.15">
      <c r="A84" s="4">
        <v>2017</v>
      </c>
      <c r="B84" s="13" t="s">
        <v>15</v>
      </c>
      <c r="C84" s="4" t="s">
        <v>56</v>
      </c>
      <c r="D84" s="4" t="s">
        <v>79</v>
      </c>
      <c r="E84" s="4" t="s">
        <v>79</v>
      </c>
    </row>
    <row r="85" spans="1:5" ht="13" x14ac:dyDescent="0.15">
      <c r="A85" s="4">
        <v>2017</v>
      </c>
      <c r="B85" s="13" t="s">
        <v>15</v>
      </c>
      <c r="C85" s="4" t="s">
        <v>56</v>
      </c>
      <c r="D85" s="12">
        <v>17</v>
      </c>
      <c r="E85" s="4" t="s">
        <v>79</v>
      </c>
    </row>
    <row r="86" spans="1:5" ht="13" x14ac:dyDescent="0.15">
      <c r="A86" s="4">
        <v>2018</v>
      </c>
      <c r="B86" s="13" t="s">
        <v>15</v>
      </c>
      <c r="C86" s="4" t="s">
        <v>56</v>
      </c>
      <c r="D86" s="12">
        <v>16377</v>
      </c>
      <c r="E86" s="12">
        <v>6280</v>
      </c>
    </row>
    <row r="87" spans="1:5" ht="13" x14ac:dyDescent="0.15">
      <c r="A87" s="4">
        <v>2019</v>
      </c>
      <c r="B87" s="13" t="s">
        <v>15</v>
      </c>
      <c r="C87" s="4" t="s">
        <v>56</v>
      </c>
      <c r="D87" s="12">
        <v>4361</v>
      </c>
      <c r="E87" s="12">
        <v>8546</v>
      </c>
    </row>
    <row r="88" spans="1:5" ht="13" x14ac:dyDescent="0.15">
      <c r="A88" s="4">
        <v>2020</v>
      </c>
      <c r="B88" s="13" t="s">
        <v>15</v>
      </c>
      <c r="C88" s="4" t="s">
        <v>56</v>
      </c>
      <c r="D88" s="12">
        <v>50</v>
      </c>
      <c r="E88" s="4" t="s">
        <v>80</v>
      </c>
    </row>
    <row r="89" spans="1:5" ht="13" x14ac:dyDescent="0.15">
      <c r="A89" s="4">
        <v>2017</v>
      </c>
      <c r="B89" s="13" t="s">
        <v>16</v>
      </c>
      <c r="C89" s="4" t="s">
        <v>59</v>
      </c>
      <c r="D89" s="4" t="s">
        <v>79</v>
      </c>
      <c r="E89" s="4" t="s">
        <v>79</v>
      </c>
    </row>
    <row r="90" spans="1:5" ht="13" x14ac:dyDescent="0.15">
      <c r="A90" s="4">
        <v>2017</v>
      </c>
      <c r="B90" s="13" t="s">
        <v>16</v>
      </c>
      <c r="C90" s="4" t="s">
        <v>59</v>
      </c>
      <c r="D90" s="12">
        <v>133</v>
      </c>
      <c r="E90" s="4" t="s">
        <v>79</v>
      </c>
    </row>
    <row r="91" spans="1:5" ht="13" x14ac:dyDescent="0.15">
      <c r="A91" s="4">
        <v>2017</v>
      </c>
      <c r="B91" s="13" t="s">
        <v>17</v>
      </c>
      <c r="C91" s="4" t="s">
        <v>61</v>
      </c>
      <c r="D91" s="4" t="s">
        <v>79</v>
      </c>
      <c r="E91" s="12">
        <v>2687</v>
      </c>
    </row>
    <row r="92" spans="1:5" ht="13" x14ac:dyDescent="0.15">
      <c r="A92" s="4">
        <v>2017</v>
      </c>
      <c r="B92" s="13" t="s">
        <v>17</v>
      </c>
      <c r="C92" s="4" t="s">
        <v>61</v>
      </c>
      <c r="D92" s="4" t="s">
        <v>79</v>
      </c>
      <c r="E92" s="12">
        <v>1464</v>
      </c>
    </row>
    <row r="93" spans="1:5" ht="13" x14ac:dyDescent="0.15">
      <c r="A93" s="4">
        <v>2018</v>
      </c>
      <c r="B93" s="13" t="s">
        <v>17</v>
      </c>
      <c r="C93" s="4" t="s">
        <v>61</v>
      </c>
      <c r="D93" s="12">
        <v>678</v>
      </c>
      <c r="E93" s="12">
        <v>13942</v>
      </c>
    </row>
    <row r="94" spans="1:5" ht="13" x14ac:dyDescent="0.15">
      <c r="A94" s="4">
        <v>2019</v>
      </c>
      <c r="B94" s="13" t="s">
        <v>17</v>
      </c>
      <c r="C94" s="4" t="s">
        <v>61</v>
      </c>
      <c r="D94" s="12">
        <v>10</v>
      </c>
      <c r="E94" s="12">
        <v>42072</v>
      </c>
    </row>
    <row r="95" spans="1:5" ht="13" x14ac:dyDescent="0.15">
      <c r="A95" s="4">
        <v>2017</v>
      </c>
      <c r="B95" s="13" t="s">
        <v>17</v>
      </c>
      <c r="C95" s="4" t="s">
        <v>62</v>
      </c>
      <c r="D95" s="4" t="s">
        <v>79</v>
      </c>
      <c r="E95" s="4" t="s">
        <v>79</v>
      </c>
    </row>
    <row r="96" spans="1:5" ht="13" x14ac:dyDescent="0.15">
      <c r="A96" s="4">
        <v>2017</v>
      </c>
      <c r="B96" s="13" t="s">
        <v>17</v>
      </c>
      <c r="C96" s="4" t="s">
        <v>62</v>
      </c>
      <c r="D96" s="4" t="s">
        <v>79</v>
      </c>
      <c r="E96" s="12">
        <v>113</v>
      </c>
    </row>
    <row r="97" spans="1:5" ht="13" x14ac:dyDescent="0.15">
      <c r="A97" s="4">
        <v>2018</v>
      </c>
      <c r="B97" s="13" t="s">
        <v>17</v>
      </c>
      <c r="C97" s="4" t="s">
        <v>62</v>
      </c>
      <c r="D97" s="4" t="s">
        <v>80</v>
      </c>
      <c r="E97" s="12">
        <v>213</v>
      </c>
    </row>
    <row r="98" spans="1:5" ht="13" x14ac:dyDescent="0.15">
      <c r="A98" s="4">
        <v>2019</v>
      </c>
      <c r="B98" s="13" t="s">
        <v>17</v>
      </c>
      <c r="C98" s="4" t="s">
        <v>62</v>
      </c>
      <c r="D98" s="4" t="s">
        <v>79</v>
      </c>
      <c r="E98" s="12">
        <v>2638</v>
      </c>
    </row>
    <row r="99" spans="1:5" ht="13" x14ac:dyDescent="0.15">
      <c r="A99" s="4">
        <v>2017</v>
      </c>
      <c r="B99" s="13" t="s">
        <v>17</v>
      </c>
      <c r="C99" s="4" t="s">
        <v>63</v>
      </c>
      <c r="D99" s="4" t="s">
        <v>79</v>
      </c>
      <c r="E99" s="12">
        <v>8</v>
      </c>
    </row>
    <row r="100" spans="1:5" ht="13" x14ac:dyDescent="0.15">
      <c r="A100" s="4">
        <v>2017</v>
      </c>
      <c r="B100" s="13" t="s">
        <v>17</v>
      </c>
      <c r="C100" s="4" t="s">
        <v>63</v>
      </c>
      <c r="D100" s="4" t="s">
        <v>79</v>
      </c>
      <c r="E100" s="12">
        <v>81</v>
      </c>
    </row>
    <row r="101" spans="1:5" ht="13" x14ac:dyDescent="0.15">
      <c r="A101" s="4">
        <v>2018</v>
      </c>
      <c r="B101" s="13" t="s">
        <v>17</v>
      </c>
      <c r="C101" s="4" t="s">
        <v>63</v>
      </c>
      <c r="D101" s="4" t="s">
        <v>80</v>
      </c>
      <c r="E101" s="12">
        <v>265</v>
      </c>
    </row>
    <row r="102" spans="1:5" ht="13" x14ac:dyDescent="0.15">
      <c r="A102" s="4">
        <v>2017</v>
      </c>
      <c r="B102" s="13" t="s">
        <v>13</v>
      </c>
      <c r="C102" s="4" t="s">
        <v>48</v>
      </c>
      <c r="D102" s="12">
        <v>20</v>
      </c>
      <c r="E102" s="12">
        <v>1674</v>
      </c>
    </row>
    <row r="103" spans="1:5" ht="13" x14ac:dyDescent="0.15">
      <c r="A103" s="4">
        <v>2017</v>
      </c>
      <c r="B103" s="13" t="s">
        <v>13</v>
      </c>
      <c r="C103" s="4" t="s">
        <v>48</v>
      </c>
      <c r="D103" s="12">
        <v>173</v>
      </c>
      <c r="E103" s="12">
        <v>1688</v>
      </c>
    </row>
    <row r="104" spans="1:5" ht="13" x14ac:dyDescent="0.15">
      <c r="A104" s="4">
        <v>2018</v>
      </c>
      <c r="B104" s="13" t="s">
        <v>13</v>
      </c>
      <c r="C104" s="4" t="s">
        <v>48</v>
      </c>
      <c r="D104" s="12">
        <v>850</v>
      </c>
      <c r="E104" s="12">
        <v>4758</v>
      </c>
    </row>
    <row r="105" spans="1:5" ht="13" x14ac:dyDescent="0.15">
      <c r="A105" s="4">
        <v>2019</v>
      </c>
      <c r="B105" s="13" t="s">
        <v>13</v>
      </c>
      <c r="C105" s="4" t="s">
        <v>48</v>
      </c>
      <c r="D105" s="12">
        <v>6003</v>
      </c>
      <c r="E105" s="12">
        <v>9165</v>
      </c>
    </row>
    <row r="106" spans="1:5" ht="13" x14ac:dyDescent="0.15">
      <c r="A106" s="4">
        <v>2020</v>
      </c>
      <c r="B106" s="13" t="s">
        <v>13</v>
      </c>
      <c r="C106" s="4" t="s">
        <v>48</v>
      </c>
      <c r="D106" s="12">
        <v>435</v>
      </c>
      <c r="E106" s="12">
        <v>892</v>
      </c>
    </row>
    <row r="107" spans="1:5" ht="13" x14ac:dyDescent="0.15">
      <c r="A107" s="4">
        <v>2017</v>
      </c>
      <c r="B107" s="4" t="s">
        <v>8</v>
      </c>
      <c r="C107" s="4" t="s">
        <v>30</v>
      </c>
      <c r="D107" s="4" t="s">
        <v>79</v>
      </c>
      <c r="E107" s="12">
        <v>7232</v>
      </c>
    </row>
    <row r="108" spans="1:5" ht="13" x14ac:dyDescent="0.15">
      <c r="A108" s="4">
        <v>2017</v>
      </c>
      <c r="B108" s="4" t="s">
        <v>8</v>
      </c>
      <c r="C108" s="4" t="s">
        <v>30</v>
      </c>
      <c r="D108" s="4" t="s">
        <v>79</v>
      </c>
      <c r="E108" s="12">
        <v>8681</v>
      </c>
    </row>
    <row r="109" spans="1:5" ht="13" x14ac:dyDescent="0.15">
      <c r="A109" s="4">
        <v>2018</v>
      </c>
      <c r="B109" s="4" t="s">
        <v>8</v>
      </c>
      <c r="C109" s="4" t="s">
        <v>30</v>
      </c>
      <c r="D109" s="12">
        <v>49</v>
      </c>
      <c r="E109" s="12">
        <v>34957</v>
      </c>
    </row>
    <row r="110" spans="1:5" ht="13" x14ac:dyDescent="0.15">
      <c r="A110" s="4">
        <v>2019</v>
      </c>
      <c r="B110" s="4" t="s">
        <v>8</v>
      </c>
      <c r="C110" s="4" t="s">
        <v>30</v>
      </c>
      <c r="D110" s="4" t="s">
        <v>79</v>
      </c>
      <c r="E110" s="12">
        <v>25015</v>
      </c>
    </row>
    <row r="111" spans="1:5" ht="13" x14ac:dyDescent="0.15">
      <c r="A111" s="4">
        <v>2020</v>
      </c>
      <c r="B111" s="4" t="s">
        <v>8</v>
      </c>
      <c r="C111" s="4" t="s">
        <v>30</v>
      </c>
      <c r="D111" s="4" t="s">
        <v>80</v>
      </c>
      <c r="E111" s="12">
        <v>1867</v>
      </c>
    </row>
    <row r="112" spans="1:5" ht="13" x14ac:dyDescent="0.15">
      <c r="A112" s="4">
        <v>2017</v>
      </c>
      <c r="B112" s="13" t="s">
        <v>12</v>
      </c>
      <c r="C112" s="4" t="s">
        <v>44</v>
      </c>
      <c r="D112" s="4" t="s">
        <v>79</v>
      </c>
      <c r="E112" s="4" t="s">
        <v>79</v>
      </c>
    </row>
    <row r="113" spans="1:5" ht="13" x14ac:dyDescent="0.15">
      <c r="A113" s="4">
        <v>2017</v>
      </c>
      <c r="B113" s="13" t="s">
        <v>12</v>
      </c>
      <c r="C113" s="4" t="s">
        <v>44</v>
      </c>
      <c r="D113" s="4" t="s">
        <v>79</v>
      </c>
      <c r="E113" s="4" t="s">
        <v>79</v>
      </c>
    </row>
    <row r="114" spans="1:5" ht="13" x14ac:dyDescent="0.15">
      <c r="A114" s="4">
        <v>2018</v>
      </c>
      <c r="B114" s="13" t="s">
        <v>12</v>
      </c>
      <c r="C114" s="4" t="s">
        <v>44</v>
      </c>
      <c r="D114" s="12">
        <v>22874</v>
      </c>
      <c r="E114" s="4" t="s">
        <v>80</v>
      </c>
    </row>
    <row r="115" spans="1:5" ht="13" x14ac:dyDescent="0.15">
      <c r="A115" s="4">
        <v>2019</v>
      </c>
      <c r="B115" s="13" t="s">
        <v>12</v>
      </c>
      <c r="C115" s="4" t="s">
        <v>44</v>
      </c>
      <c r="D115" s="12">
        <v>6723</v>
      </c>
      <c r="E115" s="4" t="s">
        <v>79</v>
      </c>
    </row>
    <row r="116" spans="1:5" ht="13" x14ac:dyDescent="0.15">
      <c r="A116" s="4">
        <v>2017</v>
      </c>
      <c r="B116" s="13" t="s">
        <v>14</v>
      </c>
      <c r="C116" s="4" t="s">
        <v>51</v>
      </c>
      <c r="D116" s="12">
        <v>1841</v>
      </c>
      <c r="E116" s="4" t="s">
        <v>79</v>
      </c>
    </row>
    <row r="117" spans="1:5" ht="13" x14ac:dyDescent="0.15">
      <c r="A117" s="4">
        <v>2017</v>
      </c>
      <c r="B117" s="13" t="s">
        <v>14</v>
      </c>
      <c r="C117" s="4" t="s">
        <v>51</v>
      </c>
      <c r="D117" s="12">
        <v>4847</v>
      </c>
      <c r="E117" s="4" t="s">
        <v>79</v>
      </c>
    </row>
    <row r="118" spans="1:5" ht="13" x14ac:dyDescent="0.15">
      <c r="A118" s="4">
        <v>2018</v>
      </c>
      <c r="B118" s="13" t="s">
        <v>14</v>
      </c>
      <c r="C118" s="4" t="s">
        <v>51</v>
      </c>
      <c r="D118" s="12">
        <v>69919</v>
      </c>
      <c r="E118" s="4" t="s">
        <v>80</v>
      </c>
    </row>
    <row r="119" spans="1:5" ht="13" x14ac:dyDescent="0.15">
      <c r="A119" s="4">
        <v>2019</v>
      </c>
      <c r="B119" s="13" t="s">
        <v>14</v>
      </c>
      <c r="C119" s="4" t="s">
        <v>51</v>
      </c>
      <c r="D119" s="12">
        <v>84038</v>
      </c>
      <c r="E119" s="12">
        <v>127</v>
      </c>
    </row>
    <row r="120" spans="1:5" ht="13" x14ac:dyDescent="0.15">
      <c r="A120" s="4">
        <v>2020</v>
      </c>
      <c r="B120" s="13" t="s">
        <v>14</v>
      </c>
      <c r="C120" s="4" t="s">
        <v>51</v>
      </c>
      <c r="D120" s="12">
        <v>15848</v>
      </c>
      <c r="E120" s="4" t="s">
        <v>80</v>
      </c>
    </row>
    <row r="121" spans="1:5" ht="13" x14ac:dyDescent="0.15">
      <c r="A121" s="4">
        <v>2017</v>
      </c>
      <c r="B121" s="13" t="s">
        <v>14</v>
      </c>
      <c r="C121" s="4" t="s">
        <v>50</v>
      </c>
      <c r="D121" s="12">
        <v>123</v>
      </c>
      <c r="E121" s="4" t="s">
        <v>79</v>
      </c>
    </row>
    <row r="122" spans="1:5" ht="13" x14ac:dyDescent="0.15">
      <c r="A122" s="4">
        <v>2017</v>
      </c>
      <c r="B122" s="13" t="s">
        <v>14</v>
      </c>
      <c r="C122" s="4" t="s">
        <v>50</v>
      </c>
      <c r="D122" s="12">
        <v>111</v>
      </c>
      <c r="E122" s="4" t="s">
        <v>79</v>
      </c>
    </row>
    <row r="123" spans="1:5" ht="13" x14ac:dyDescent="0.15">
      <c r="A123" s="4">
        <v>2017</v>
      </c>
      <c r="B123" s="13" t="s">
        <v>16</v>
      </c>
      <c r="C123" s="4" t="s">
        <v>58</v>
      </c>
      <c r="D123" s="12">
        <v>1701</v>
      </c>
      <c r="E123" s="12">
        <v>8384</v>
      </c>
    </row>
    <row r="124" spans="1:5" ht="13" x14ac:dyDescent="0.15">
      <c r="A124" s="4">
        <v>2017</v>
      </c>
      <c r="B124" s="13" t="s">
        <v>16</v>
      </c>
      <c r="C124" s="4" t="s">
        <v>58</v>
      </c>
      <c r="D124" s="12">
        <v>7143</v>
      </c>
      <c r="E124" s="12">
        <v>11932</v>
      </c>
    </row>
    <row r="125" spans="1:5" ht="13" x14ac:dyDescent="0.15">
      <c r="A125" s="4">
        <v>2018</v>
      </c>
      <c r="B125" s="13" t="s">
        <v>16</v>
      </c>
      <c r="C125" s="4" t="s">
        <v>58</v>
      </c>
      <c r="D125" s="12">
        <v>21859</v>
      </c>
      <c r="E125" s="12">
        <v>43729</v>
      </c>
    </row>
    <row r="126" spans="1:5" ht="13" x14ac:dyDescent="0.15">
      <c r="A126" s="4">
        <v>2019</v>
      </c>
      <c r="B126" s="13" t="s">
        <v>16</v>
      </c>
      <c r="C126" s="4" t="s">
        <v>58</v>
      </c>
      <c r="D126" s="12">
        <v>3590</v>
      </c>
      <c r="E126" s="12">
        <v>27123</v>
      </c>
    </row>
    <row r="127" spans="1:5" ht="13" x14ac:dyDescent="0.15">
      <c r="A127" s="4">
        <v>2020</v>
      </c>
      <c r="B127" s="13" t="s">
        <v>16</v>
      </c>
      <c r="C127" s="4" t="s">
        <v>58</v>
      </c>
      <c r="D127" s="4" t="s">
        <v>80</v>
      </c>
      <c r="E127" s="12">
        <v>2099</v>
      </c>
    </row>
    <row r="128" spans="1:5" ht="13" x14ac:dyDescent="0.15">
      <c r="A128" s="4">
        <v>2017</v>
      </c>
      <c r="B128" s="4" t="s">
        <v>7</v>
      </c>
      <c r="C128" s="4" t="s">
        <v>23</v>
      </c>
      <c r="D128" s="4" t="s">
        <v>79</v>
      </c>
      <c r="E128" s="4" t="s">
        <v>79</v>
      </c>
    </row>
    <row r="129" spans="1:5" ht="13" x14ac:dyDescent="0.15">
      <c r="A129" s="4">
        <v>2017</v>
      </c>
      <c r="B129" s="4" t="s">
        <v>7</v>
      </c>
      <c r="C129" s="4" t="s">
        <v>23</v>
      </c>
      <c r="D129" s="12">
        <v>324</v>
      </c>
      <c r="E129" s="4" t="s">
        <v>79</v>
      </c>
    </row>
    <row r="130" spans="1:5" ht="13" x14ac:dyDescent="0.15">
      <c r="A130" s="4">
        <v>2017</v>
      </c>
      <c r="B130" s="13" t="s">
        <v>13</v>
      </c>
      <c r="C130" s="4" t="s">
        <v>46</v>
      </c>
      <c r="D130" s="4" t="s">
        <v>79</v>
      </c>
      <c r="E130" s="12">
        <v>2324</v>
      </c>
    </row>
    <row r="131" spans="1:5" ht="13" x14ac:dyDescent="0.15">
      <c r="A131" s="4">
        <v>2017</v>
      </c>
      <c r="B131" s="13" t="s">
        <v>13</v>
      </c>
      <c r="C131" s="4" t="s">
        <v>46</v>
      </c>
      <c r="D131" s="12">
        <v>995</v>
      </c>
      <c r="E131" s="12">
        <v>3589</v>
      </c>
    </row>
    <row r="132" spans="1:5" ht="13" x14ac:dyDescent="0.15">
      <c r="A132" s="4">
        <v>2018</v>
      </c>
      <c r="B132" s="13" t="s">
        <v>13</v>
      </c>
      <c r="C132" s="4" t="s">
        <v>46</v>
      </c>
      <c r="D132" s="12">
        <v>2451</v>
      </c>
      <c r="E132" s="12">
        <v>26351</v>
      </c>
    </row>
    <row r="133" spans="1:5" ht="13" x14ac:dyDescent="0.15">
      <c r="A133" s="4">
        <v>2019</v>
      </c>
      <c r="B133" s="13" t="s">
        <v>13</v>
      </c>
      <c r="C133" s="4" t="s">
        <v>46</v>
      </c>
      <c r="D133" s="12">
        <v>7363</v>
      </c>
      <c r="E133" s="12">
        <v>74573</v>
      </c>
    </row>
    <row r="134" spans="1:5" ht="13" x14ac:dyDescent="0.15">
      <c r="A134" s="4">
        <v>2020</v>
      </c>
      <c r="B134" s="13" t="s">
        <v>13</v>
      </c>
      <c r="C134" s="4" t="s">
        <v>46</v>
      </c>
      <c r="D134" s="12">
        <v>105</v>
      </c>
      <c r="E134" s="12">
        <v>309</v>
      </c>
    </row>
    <row r="135" spans="1:5" ht="13" x14ac:dyDescent="0.15">
      <c r="A135" s="4">
        <v>2018</v>
      </c>
      <c r="B135" s="13" t="s">
        <v>9</v>
      </c>
      <c r="C135" s="4" t="s">
        <v>32</v>
      </c>
      <c r="D135" s="4" t="s">
        <v>80</v>
      </c>
      <c r="E135" s="12">
        <v>43803</v>
      </c>
    </row>
    <row r="136" spans="1:5" ht="13" x14ac:dyDescent="0.15">
      <c r="A136" s="4">
        <v>2019</v>
      </c>
      <c r="B136" s="13" t="s">
        <v>9</v>
      </c>
      <c r="C136" s="4" t="s">
        <v>32</v>
      </c>
      <c r="D136" s="4" t="s">
        <v>79</v>
      </c>
      <c r="E136" s="12">
        <v>146891</v>
      </c>
    </row>
    <row r="137" spans="1:5" ht="13" x14ac:dyDescent="0.15">
      <c r="A137" s="4">
        <v>2020</v>
      </c>
      <c r="B137" s="13" t="s">
        <v>9</v>
      </c>
      <c r="C137" s="4" t="s">
        <v>32</v>
      </c>
      <c r="D137" s="4" t="s">
        <v>80</v>
      </c>
      <c r="E137" s="12">
        <v>4596</v>
      </c>
    </row>
    <row r="138" spans="1:5" ht="13" x14ac:dyDescent="0.15">
      <c r="A138" s="4">
        <v>2017</v>
      </c>
      <c r="B138" s="4" t="s">
        <v>6</v>
      </c>
      <c r="C138" s="4" t="s">
        <v>21</v>
      </c>
      <c r="D138" s="4" t="s">
        <v>79</v>
      </c>
      <c r="E138" s="12">
        <v>11889</v>
      </c>
    </row>
    <row r="139" spans="1:5" ht="13" x14ac:dyDescent="0.15">
      <c r="A139" s="4">
        <v>2017</v>
      </c>
      <c r="B139" s="4" t="s">
        <v>6</v>
      </c>
      <c r="C139" s="4" t="s">
        <v>21</v>
      </c>
      <c r="D139" s="4" t="s">
        <v>79</v>
      </c>
      <c r="E139" s="12">
        <v>28061</v>
      </c>
    </row>
    <row r="140" spans="1:5" ht="13" x14ac:dyDescent="0.15">
      <c r="A140" s="4">
        <v>2018</v>
      </c>
      <c r="B140" s="4" t="s">
        <v>6</v>
      </c>
      <c r="C140" s="4" t="s">
        <v>21</v>
      </c>
      <c r="D140" s="4" t="s">
        <v>80</v>
      </c>
      <c r="E140" s="12">
        <v>631503</v>
      </c>
    </row>
    <row r="141" spans="1:5" ht="13" x14ac:dyDescent="0.15">
      <c r="A141" s="4">
        <v>2019</v>
      </c>
      <c r="B141" s="4" t="s">
        <v>6</v>
      </c>
      <c r="C141" s="4" t="s">
        <v>21</v>
      </c>
      <c r="D141" s="4" t="s">
        <v>79</v>
      </c>
      <c r="E141" s="12">
        <v>837773</v>
      </c>
    </row>
    <row r="142" spans="1:5" ht="13" x14ac:dyDescent="0.15">
      <c r="A142" s="4">
        <v>2020</v>
      </c>
      <c r="B142" s="4" t="s">
        <v>6</v>
      </c>
      <c r="C142" s="4" t="s">
        <v>21</v>
      </c>
      <c r="D142" s="4" t="s">
        <v>80</v>
      </c>
      <c r="E142" s="12">
        <v>139536</v>
      </c>
    </row>
    <row r="143" spans="1:5" ht="13" x14ac:dyDescent="0.15">
      <c r="A143" s="4">
        <v>2017</v>
      </c>
      <c r="B143" s="13" t="s">
        <v>17</v>
      </c>
      <c r="C143" s="4" t="s">
        <v>64</v>
      </c>
      <c r="D143" s="4" t="s">
        <v>79</v>
      </c>
      <c r="E143" s="4" t="s">
        <v>79</v>
      </c>
    </row>
    <row r="144" spans="1:5" ht="13" x14ac:dyDescent="0.15">
      <c r="A144" s="4">
        <v>2017</v>
      </c>
      <c r="B144" s="13" t="s">
        <v>17</v>
      </c>
      <c r="C144" s="4" t="s">
        <v>64</v>
      </c>
      <c r="D144" s="4" t="s">
        <v>79</v>
      </c>
      <c r="E144" s="4" t="s">
        <v>79</v>
      </c>
    </row>
    <row r="145" spans="1:5" ht="13" x14ac:dyDescent="0.15">
      <c r="A145" s="4">
        <v>2018</v>
      </c>
      <c r="B145" s="13" t="s">
        <v>17</v>
      </c>
      <c r="C145" s="4" t="s">
        <v>64</v>
      </c>
      <c r="D145" s="4" t="s">
        <v>80</v>
      </c>
      <c r="E145" s="12">
        <v>6</v>
      </c>
    </row>
    <row r="146" spans="1:5" ht="13" x14ac:dyDescent="0.15">
      <c r="A146" s="4">
        <v>2019</v>
      </c>
      <c r="B146" s="13" t="s">
        <v>17</v>
      </c>
      <c r="C146" s="4" t="s">
        <v>64</v>
      </c>
      <c r="D146" s="4" t="s">
        <v>79</v>
      </c>
      <c r="E146" s="12">
        <v>3</v>
      </c>
    </row>
    <row r="147" spans="1:5" ht="13" x14ac:dyDescent="0.15">
      <c r="A147" s="4">
        <v>2020</v>
      </c>
      <c r="B147" s="13" t="s">
        <v>17</v>
      </c>
      <c r="C147" s="4" t="s">
        <v>64</v>
      </c>
      <c r="D147" s="4" t="s">
        <v>80</v>
      </c>
      <c r="E147" s="12">
        <v>-5</v>
      </c>
    </row>
    <row r="148" spans="1:5" ht="13" x14ac:dyDescent="0.15">
      <c r="A148" s="4">
        <v>2017</v>
      </c>
      <c r="B148" s="13" t="s">
        <v>17</v>
      </c>
      <c r="C148" s="4" t="s">
        <v>65</v>
      </c>
      <c r="D148" s="4" t="s">
        <v>79</v>
      </c>
      <c r="E148" s="4" t="s">
        <v>79</v>
      </c>
    </row>
    <row r="149" spans="1:5" ht="13" x14ac:dyDescent="0.15">
      <c r="A149" s="4">
        <v>2017</v>
      </c>
      <c r="B149" s="13" t="s">
        <v>17</v>
      </c>
      <c r="C149" s="4" t="s">
        <v>65</v>
      </c>
      <c r="D149" s="4" t="s">
        <v>79</v>
      </c>
      <c r="E149" s="4" t="s">
        <v>79</v>
      </c>
    </row>
    <row r="150" spans="1:5" ht="13" x14ac:dyDescent="0.15">
      <c r="A150" s="4">
        <v>2018</v>
      </c>
      <c r="B150" s="13" t="s">
        <v>17</v>
      </c>
      <c r="C150" s="4" t="s">
        <v>65</v>
      </c>
      <c r="D150" s="4" t="s">
        <v>80</v>
      </c>
      <c r="E150" s="4" t="s">
        <v>80</v>
      </c>
    </row>
    <row r="151" spans="1:5" ht="13" x14ac:dyDescent="0.15">
      <c r="A151" s="4">
        <v>2019</v>
      </c>
      <c r="B151" s="13" t="s">
        <v>17</v>
      </c>
      <c r="C151" s="4" t="s">
        <v>65</v>
      </c>
      <c r="D151" s="4" t="s">
        <v>79</v>
      </c>
      <c r="E151" s="4" t="s">
        <v>79</v>
      </c>
    </row>
  </sheetData>
  <autoFilter ref="A1:E151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44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.75" customHeight="1" x14ac:dyDescent="0.15"/>
  <cols>
    <col min="1" max="1" width="38.5" customWidth="1"/>
    <col min="2" max="2" width="15.5" customWidth="1"/>
    <col min="5" max="5" width="5.1640625" customWidth="1"/>
    <col min="6" max="6" width="53.33203125" customWidth="1"/>
    <col min="7" max="7" width="13" customWidth="1"/>
    <col min="9" max="9" width="41.5" customWidth="1"/>
  </cols>
  <sheetData>
    <row r="1" spans="1:12" ht="15.75" customHeight="1" x14ac:dyDescent="0.15">
      <c r="A1" s="29" t="s">
        <v>81</v>
      </c>
      <c r="B1" s="28"/>
      <c r="C1" s="15"/>
      <c r="D1" s="15"/>
      <c r="F1" s="29" t="s">
        <v>82</v>
      </c>
      <c r="G1" s="28"/>
      <c r="I1" s="29" t="s">
        <v>0</v>
      </c>
      <c r="J1" s="28"/>
      <c r="K1" s="16"/>
      <c r="L1" s="16"/>
    </row>
    <row r="2" spans="1:12" ht="15.75" customHeight="1" x14ac:dyDescent="0.15">
      <c r="A2" s="29" t="s">
        <v>83</v>
      </c>
      <c r="B2" s="28"/>
      <c r="C2" s="15"/>
      <c r="D2" s="15"/>
      <c r="F2" s="29" t="s">
        <v>84</v>
      </c>
      <c r="G2" s="28"/>
      <c r="I2" s="29" t="s">
        <v>85</v>
      </c>
      <c r="J2" s="28"/>
      <c r="K2" s="16"/>
      <c r="L2" s="16"/>
    </row>
    <row r="3" spans="1:12" ht="15.75" customHeight="1" x14ac:dyDescent="0.15">
      <c r="A3" s="29" t="s">
        <v>86</v>
      </c>
      <c r="B3" s="28"/>
      <c r="C3" s="15"/>
      <c r="D3" s="15"/>
      <c r="F3" s="29" t="s">
        <v>86</v>
      </c>
      <c r="G3" s="28"/>
      <c r="I3" s="29" t="s">
        <v>86</v>
      </c>
      <c r="J3" s="28"/>
      <c r="K3" s="16"/>
      <c r="L3" s="16"/>
    </row>
    <row r="4" spans="1:12" ht="15.75" customHeight="1" x14ac:dyDescent="0.15">
      <c r="A4" s="15"/>
      <c r="B4" s="15"/>
      <c r="C4" s="15"/>
      <c r="D4" s="15"/>
      <c r="F4" s="15"/>
      <c r="G4" s="15"/>
      <c r="I4" s="15"/>
      <c r="J4" s="15"/>
      <c r="K4" s="16"/>
      <c r="L4" s="16"/>
    </row>
    <row r="5" spans="1:12" ht="15.75" customHeight="1" x14ac:dyDescent="0.15">
      <c r="A5" s="15"/>
      <c r="B5" s="17">
        <v>43100</v>
      </c>
      <c r="C5" s="18" t="s">
        <v>87</v>
      </c>
      <c r="D5" s="18" t="s">
        <v>88</v>
      </c>
      <c r="F5" s="15"/>
      <c r="G5" s="17">
        <v>43100</v>
      </c>
      <c r="I5" s="15"/>
      <c r="J5" s="11" t="s">
        <v>89</v>
      </c>
      <c r="K5" s="11" t="s">
        <v>90</v>
      </c>
      <c r="L5" s="11" t="s">
        <v>91</v>
      </c>
    </row>
    <row r="6" spans="1:12" ht="15.75" customHeight="1" x14ac:dyDescent="0.15">
      <c r="C6" s="4">
        <v>371</v>
      </c>
    </row>
    <row r="7" spans="1:12" ht="15.75" customHeight="1" x14ac:dyDescent="0.15">
      <c r="A7" s="4" t="s">
        <v>92</v>
      </c>
      <c r="F7" s="4" t="s">
        <v>93</v>
      </c>
    </row>
    <row r="8" spans="1:12" ht="15.75" customHeight="1" x14ac:dyDescent="0.15">
      <c r="A8" s="4" t="s">
        <v>94</v>
      </c>
      <c r="B8" s="19">
        <v>144400000</v>
      </c>
      <c r="D8" s="5">
        <f t="shared" ref="D8:D34" si="0">IFERROR(B8/$C$6,0)</f>
        <v>389218.32884097035</v>
      </c>
      <c r="F8" s="4" t="s">
        <v>95</v>
      </c>
      <c r="G8" s="20">
        <v>5944203</v>
      </c>
      <c r="I8" s="13" t="s">
        <v>37</v>
      </c>
      <c r="J8" s="5">
        <f t="shared" ref="J8:J36" si="1">SUMIF(A:A,I8,D:D)-SUMIF(F:F,I8,G:G)</f>
        <v>89986.48</v>
      </c>
      <c r="K8" s="5">
        <f>SUMIFS('Spotlight Data Sheet Summary'!D:D,'Spotlight Data Sheet Summary'!A:A,2017,'Spotlight Data Sheet Summary'!C:C,I8)+SUMIFS('Spotlight Data Sheet Summary'!E:E,'Spotlight Data Sheet Summary'!A:A,2017,'Spotlight Data Sheet Summary'!C:C,I8)</f>
        <v>89986</v>
      </c>
      <c r="L8" s="5">
        <f t="shared" ref="L8:L36" si="2">J8-K8</f>
        <v>0.47999999999592546</v>
      </c>
    </row>
    <row r="9" spans="1:12" ht="15.75" customHeight="1" x14ac:dyDescent="0.15">
      <c r="A9" s="4" t="s">
        <v>96</v>
      </c>
      <c r="B9" s="19">
        <v>144400000</v>
      </c>
      <c r="D9" s="5">
        <f t="shared" si="0"/>
        <v>389218.32884097035</v>
      </c>
      <c r="F9" s="4" t="s">
        <v>97</v>
      </c>
      <c r="G9" s="20">
        <v>1600</v>
      </c>
      <c r="I9" s="13" t="s">
        <v>33</v>
      </c>
      <c r="J9" s="5">
        <f t="shared" si="1"/>
        <v>17973.374663072776</v>
      </c>
      <c r="K9" s="5">
        <f>SUMIFS('Spotlight Data Sheet Summary'!D:D,'Spotlight Data Sheet Summary'!A:A,2017,'Spotlight Data Sheet Summary'!C:C,I9)+SUMIFS('Spotlight Data Sheet Summary'!E:E,'Spotlight Data Sheet Summary'!A:A,2017,'Spotlight Data Sheet Summary'!C:C,I9)</f>
        <v>17973</v>
      </c>
      <c r="L9" s="5">
        <f t="shared" si="2"/>
        <v>0.37466307277645683</v>
      </c>
    </row>
    <row r="10" spans="1:12" ht="15.75" customHeight="1" x14ac:dyDescent="0.15">
      <c r="D10" s="5">
        <f t="shared" si="0"/>
        <v>0</v>
      </c>
      <c r="F10" s="4" t="s">
        <v>98</v>
      </c>
      <c r="G10" s="20">
        <v>5945803</v>
      </c>
      <c r="I10" s="13" t="s">
        <v>42</v>
      </c>
      <c r="J10" s="5">
        <f t="shared" si="1"/>
        <v>3072.73</v>
      </c>
      <c r="K10" s="5">
        <f>SUMIFS('Spotlight Data Sheet Summary'!D:D,'Spotlight Data Sheet Summary'!A:A,2017,'Spotlight Data Sheet Summary'!C:C,I10)+SUMIFS('Spotlight Data Sheet Summary'!E:E,'Spotlight Data Sheet Summary'!A:A,2017,'Spotlight Data Sheet Summary'!C:C,I10)</f>
        <v>3072</v>
      </c>
      <c r="L10" s="5">
        <f t="shared" si="2"/>
        <v>0.73000000000001819</v>
      </c>
    </row>
    <row r="11" spans="1:12" ht="15.75" customHeight="1" x14ac:dyDescent="0.15">
      <c r="A11" s="4" t="s">
        <v>99</v>
      </c>
      <c r="B11" s="19">
        <v>144400000</v>
      </c>
      <c r="D11" s="5">
        <f t="shared" si="0"/>
        <v>389218.32884097035</v>
      </c>
      <c r="I11" s="13" t="s">
        <v>43</v>
      </c>
      <c r="J11" s="5">
        <f t="shared" si="1"/>
        <v>3465</v>
      </c>
      <c r="K11" s="5">
        <f>SUMIFS('Spotlight Data Sheet Summary'!D:D,'Spotlight Data Sheet Summary'!A:A,2017,'Spotlight Data Sheet Summary'!C:C,I11)+SUMIFS('Spotlight Data Sheet Summary'!E:E,'Spotlight Data Sheet Summary'!A:A,2017,'Spotlight Data Sheet Summary'!C:C,I11)</f>
        <v>3465</v>
      </c>
      <c r="L11" s="5">
        <f t="shared" si="2"/>
        <v>0</v>
      </c>
    </row>
    <row r="12" spans="1:12" ht="15.75" customHeight="1" x14ac:dyDescent="0.15">
      <c r="D12" s="5">
        <f t="shared" si="0"/>
        <v>0</v>
      </c>
      <c r="F12" s="4" t="s">
        <v>99</v>
      </c>
      <c r="G12" s="20">
        <v>5945803</v>
      </c>
      <c r="I12" s="13" t="s">
        <v>38</v>
      </c>
      <c r="J12" s="5">
        <f t="shared" si="1"/>
        <v>3937.52</v>
      </c>
      <c r="K12" s="5">
        <f>SUMIFS('Spotlight Data Sheet Summary'!D:D,'Spotlight Data Sheet Summary'!A:A,2017,'Spotlight Data Sheet Summary'!C:C,I12)+SUMIFS('Spotlight Data Sheet Summary'!E:E,'Spotlight Data Sheet Summary'!A:A,2017,'Spotlight Data Sheet Summary'!C:C,I12)</f>
        <v>3937</v>
      </c>
      <c r="L12" s="5">
        <f t="shared" si="2"/>
        <v>0.51999999999998181</v>
      </c>
    </row>
    <row r="13" spans="1:12" ht="15.75" customHeight="1" x14ac:dyDescent="0.15">
      <c r="A13" s="4" t="s">
        <v>100</v>
      </c>
      <c r="D13" s="5">
        <f t="shared" si="0"/>
        <v>0</v>
      </c>
      <c r="I13" s="13" t="s">
        <v>34</v>
      </c>
      <c r="J13" s="5">
        <f t="shared" si="1"/>
        <v>533.19498652291099</v>
      </c>
      <c r="K13" s="5">
        <f>SUMIFS('Spotlight Data Sheet Summary'!D:D,'Spotlight Data Sheet Summary'!A:A,2017,'Spotlight Data Sheet Summary'!C:C,I13)+SUMIFS('Spotlight Data Sheet Summary'!E:E,'Spotlight Data Sheet Summary'!A:A,2017,'Spotlight Data Sheet Summary'!C:C,I13)</f>
        <v>533</v>
      </c>
      <c r="L13" s="5">
        <f t="shared" si="2"/>
        <v>0.19498652291099461</v>
      </c>
    </row>
    <row r="14" spans="1:12" ht="15.75" customHeight="1" x14ac:dyDescent="0.15">
      <c r="A14" s="4" t="s">
        <v>33</v>
      </c>
      <c r="B14" s="19">
        <v>6668122</v>
      </c>
      <c r="D14" s="5">
        <f t="shared" si="0"/>
        <v>17973.374663072776</v>
      </c>
      <c r="F14" s="4" t="s">
        <v>101</v>
      </c>
      <c r="G14" s="20">
        <v>5945803</v>
      </c>
      <c r="I14" s="13" t="s">
        <v>39</v>
      </c>
      <c r="J14" s="5">
        <f t="shared" si="1"/>
        <v>252.5</v>
      </c>
      <c r="K14" s="5">
        <f>SUMIFS('Spotlight Data Sheet Summary'!D:D,'Spotlight Data Sheet Summary'!A:A,2017,'Spotlight Data Sheet Summary'!C:C,I14)+SUMIFS('Spotlight Data Sheet Summary'!E:E,'Spotlight Data Sheet Summary'!A:A,2017,'Spotlight Data Sheet Summary'!C:C,I14)</f>
        <v>252</v>
      </c>
      <c r="L14" s="5">
        <f t="shared" si="2"/>
        <v>0.5</v>
      </c>
    </row>
    <row r="15" spans="1:12" ht="15.75" customHeight="1" x14ac:dyDescent="0.15">
      <c r="A15" s="4" t="s">
        <v>34</v>
      </c>
      <c r="B15" s="19">
        <v>197815.34</v>
      </c>
      <c r="D15" s="5">
        <f t="shared" si="0"/>
        <v>533.19498652291099</v>
      </c>
      <c r="I15" s="13" t="s">
        <v>53</v>
      </c>
      <c r="J15" s="5">
        <f t="shared" si="1"/>
        <v>1484.3665768194071</v>
      </c>
      <c r="K15" s="5">
        <f>SUMIFS('Spotlight Data Sheet Summary'!D:D,'Spotlight Data Sheet Summary'!A:A,2017,'Spotlight Data Sheet Summary'!C:C,I15)+SUMIFS('Spotlight Data Sheet Summary'!E:E,'Spotlight Data Sheet Summary'!A:A,2017,'Spotlight Data Sheet Summary'!C:C,I15)</f>
        <v>1484</v>
      </c>
      <c r="L15" s="5">
        <f t="shared" si="2"/>
        <v>0.36657681940710063</v>
      </c>
    </row>
    <row r="16" spans="1:12" ht="15.75" customHeight="1" x14ac:dyDescent="0.15">
      <c r="A16" s="4" t="s">
        <v>53</v>
      </c>
      <c r="B16" s="19">
        <v>550700</v>
      </c>
      <c r="D16" s="5">
        <f t="shared" si="0"/>
        <v>1484.3665768194071</v>
      </c>
      <c r="F16" s="4" t="s">
        <v>102</v>
      </c>
      <c r="I16" s="13" t="s">
        <v>55</v>
      </c>
      <c r="J16" s="5">
        <f t="shared" si="1"/>
        <v>274.81132075471697</v>
      </c>
      <c r="K16" s="5">
        <f>SUMIFS('Spotlight Data Sheet Summary'!D:D,'Spotlight Data Sheet Summary'!A:A,2017,'Spotlight Data Sheet Summary'!C:C,I16)+SUMIFS('Spotlight Data Sheet Summary'!E:E,'Spotlight Data Sheet Summary'!A:A,2017,'Spotlight Data Sheet Summary'!C:C,I16)</f>
        <v>274</v>
      </c>
      <c r="L16" s="5">
        <f t="shared" si="2"/>
        <v>0.81132075471697362</v>
      </c>
    </row>
    <row r="17" spans="1:12" ht="15.75" customHeight="1" x14ac:dyDescent="0.15">
      <c r="A17" s="4" t="s">
        <v>55</v>
      </c>
      <c r="B17" s="19">
        <v>63000</v>
      </c>
      <c r="D17" s="5">
        <f t="shared" si="0"/>
        <v>169.81132075471697</v>
      </c>
      <c r="F17" s="4" t="s">
        <v>103</v>
      </c>
      <c r="G17" s="20">
        <v>669.56</v>
      </c>
      <c r="I17" s="13" t="s">
        <v>47</v>
      </c>
      <c r="J17" s="5">
        <f t="shared" si="1"/>
        <v>628.3320754716982</v>
      </c>
      <c r="K17" s="5">
        <f>SUMIFS('Spotlight Data Sheet Summary'!D:D,'Spotlight Data Sheet Summary'!A:A,2017,'Spotlight Data Sheet Summary'!C:C,I17)+SUMIFS('Spotlight Data Sheet Summary'!E:E,'Spotlight Data Sheet Summary'!A:A,2017,'Spotlight Data Sheet Summary'!C:C,I17)</f>
        <v>628</v>
      </c>
      <c r="L17" s="5">
        <f t="shared" si="2"/>
        <v>0.33207547169820373</v>
      </c>
    </row>
    <row r="18" spans="1:12" ht="15.75" customHeight="1" x14ac:dyDescent="0.15">
      <c r="A18" s="4" t="s">
        <v>47</v>
      </c>
      <c r="B18" s="19">
        <v>193284.35</v>
      </c>
      <c r="D18" s="5">
        <f t="shared" si="0"/>
        <v>520.98207547169818</v>
      </c>
      <c r="F18" s="4" t="s">
        <v>37</v>
      </c>
      <c r="G18" s="20">
        <v>-89986.48</v>
      </c>
      <c r="I18" s="13" t="s">
        <v>67</v>
      </c>
      <c r="J18" s="5">
        <f t="shared" si="1"/>
        <v>122.54</v>
      </c>
      <c r="K18" s="5">
        <f>SUMIFS('Spotlight Data Sheet Summary'!D:D,'Spotlight Data Sheet Summary'!A:A,2017,'Spotlight Data Sheet Summary'!C:C,I18)+SUMIFS('Spotlight Data Sheet Summary'!E:E,'Spotlight Data Sheet Summary'!A:A,2017,'Spotlight Data Sheet Summary'!C:C,I18)</f>
        <v>123</v>
      </c>
      <c r="L18" s="5">
        <f t="shared" si="2"/>
        <v>-0.45999999999999375</v>
      </c>
    </row>
    <row r="19" spans="1:12" ht="15.75" customHeight="1" x14ac:dyDescent="0.15">
      <c r="A19" s="4" t="s">
        <v>28</v>
      </c>
      <c r="B19" s="19">
        <v>1072950</v>
      </c>
      <c r="D19" s="5">
        <f t="shared" si="0"/>
        <v>2892.0485175202157</v>
      </c>
      <c r="F19" s="4" t="s">
        <v>42</v>
      </c>
      <c r="G19" s="20">
        <v>-3072.73</v>
      </c>
      <c r="I19" s="13" t="s">
        <v>28</v>
      </c>
      <c r="J19" s="5">
        <f t="shared" si="1"/>
        <v>2892.0485175202157</v>
      </c>
      <c r="K19" s="5">
        <f>SUMIFS('Spotlight Data Sheet Summary'!D:D,'Spotlight Data Sheet Summary'!A:A,2017,'Spotlight Data Sheet Summary'!C:C,I19)+SUMIFS('Spotlight Data Sheet Summary'!E:E,'Spotlight Data Sheet Summary'!A:A,2017,'Spotlight Data Sheet Summary'!C:C,I19)</f>
        <v>2892</v>
      </c>
      <c r="L19" s="5">
        <f t="shared" si="2"/>
        <v>4.8517520215682453E-2</v>
      </c>
    </row>
    <row r="20" spans="1:12" ht="15.75" customHeight="1" x14ac:dyDescent="0.15">
      <c r="A20" s="4" t="s">
        <v>22</v>
      </c>
      <c r="B20" s="19">
        <v>9970266.8200000003</v>
      </c>
      <c r="D20" s="5">
        <f t="shared" si="0"/>
        <v>26874.034555256065</v>
      </c>
      <c r="F20" s="4" t="s">
        <v>43</v>
      </c>
      <c r="G20" s="20">
        <v>-3465</v>
      </c>
      <c r="I20" s="13" t="s">
        <v>22</v>
      </c>
      <c r="J20" s="5">
        <f t="shared" si="1"/>
        <v>26874.034555256065</v>
      </c>
      <c r="K20" s="5">
        <f>SUMIFS('Spotlight Data Sheet Summary'!D:D,'Spotlight Data Sheet Summary'!A:A,2017,'Spotlight Data Sheet Summary'!C:C,I20)+SUMIFS('Spotlight Data Sheet Summary'!E:E,'Spotlight Data Sheet Summary'!A:A,2017,'Spotlight Data Sheet Summary'!C:C,I20)</f>
        <v>26874</v>
      </c>
      <c r="L20" s="5">
        <f t="shared" si="2"/>
        <v>3.4555256064777495E-2</v>
      </c>
    </row>
    <row r="21" spans="1:12" ht="15.75" customHeight="1" x14ac:dyDescent="0.15">
      <c r="A21" s="4" t="s">
        <v>68</v>
      </c>
      <c r="B21" s="19">
        <v>2000</v>
      </c>
      <c r="D21" s="5">
        <f t="shared" si="0"/>
        <v>5.3908355795148246</v>
      </c>
      <c r="F21" s="4" t="s">
        <v>38</v>
      </c>
      <c r="G21" s="20">
        <v>-3937.52</v>
      </c>
      <c r="I21" s="13" t="s">
        <v>68</v>
      </c>
      <c r="J21" s="5">
        <f t="shared" si="1"/>
        <v>5.3908355795148246</v>
      </c>
      <c r="K21" s="5">
        <f>SUMIFS('Spotlight Data Sheet Summary'!D:D,'Spotlight Data Sheet Summary'!A:A,2017,'Spotlight Data Sheet Summary'!C:C,I21)+SUMIFS('Spotlight Data Sheet Summary'!E:E,'Spotlight Data Sheet Summary'!A:A,2017,'Spotlight Data Sheet Summary'!C:C,I21)</f>
        <v>5</v>
      </c>
      <c r="L21" s="5">
        <f t="shared" si="2"/>
        <v>0.39083557951482462</v>
      </c>
    </row>
    <row r="22" spans="1:12" ht="15.75" customHeight="1" x14ac:dyDescent="0.15">
      <c r="A22" s="4" t="s">
        <v>29</v>
      </c>
      <c r="B22" s="19">
        <v>282300</v>
      </c>
      <c r="D22" s="5">
        <f t="shared" si="0"/>
        <v>760.91644204851752</v>
      </c>
      <c r="F22" s="4" t="s">
        <v>39</v>
      </c>
      <c r="G22" s="20">
        <v>-252.5</v>
      </c>
      <c r="I22" s="13" t="s">
        <v>29</v>
      </c>
      <c r="J22" s="5">
        <f t="shared" si="1"/>
        <v>760.91644204851752</v>
      </c>
      <c r="K22" s="5">
        <f>SUMIFS('Spotlight Data Sheet Summary'!D:D,'Spotlight Data Sheet Summary'!A:A,2017,'Spotlight Data Sheet Summary'!C:C,I22)+SUMIFS('Spotlight Data Sheet Summary'!E:E,'Spotlight Data Sheet Summary'!A:A,2017,'Spotlight Data Sheet Summary'!C:C,I22)</f>
        <v>761</v>
      </c>
      <c r="L22" s="5">
        <f t="shared" si="2"/>
        <v>-8.3557951482475801E-2</v>
      </c>
    </row>
    <row r="23" spans="1:12" ht="15.75" customHeight="1" x14ac:dyDescent="0.15">
      <c r="A23" s="4" t="s">
        <v>54</v>
      </c>
      <c r="B23" s="19">
        <v>653180.05000000005</v>
      </c>
      <c r="D23" s="5">
        <f t="shared" si="0"/>
        <v>1760.5931266846362</v>
      </c>
      <c r="F23" s="4" t="s">
        <v>55</v>
      </c>
      <c r="G23" s="20">
        <v>-105</v>
      </c>
      <c r="I23" s="13" t="s">
        <v>54</v>
      </c>
      <c r="J23" s="5">
        <f t="shared" si="1"/>
        <v>1760.5931266846362</v>
      </c>
      <c r="K23" s="5">
        <f>SUMIFS('Spotlight Data Sheet Summary'!D:D,'Spotlight Data Sheet Summary'!A:A,2017,'Spotlight Data Sheet Summary'!C:C,I23)+SUMIFS('Spotlight Data Sheet Summary'!E:E,'Spotlight Data Sheet Summary'!A:A,2017,'Spotlight Data Sheet Summary'!C:C,I23)</f>
        <v>1761</v>
      </c>
      <c r="L23" s="5">
        <f t="shared" si="2"/>
        <v>-0.40687331536378224</v>
      </c>
    </row>
    <row r="24" spans="1:12" ht="15.75" customHeight="1" x14ac:dyDescent="0.15">
      <c r="A24" s="4" t="s">
        <v>61</v>
      </c>
      <c r="B24" s="19">
        <v>1539970</v>
      </c>
      <c r="D24" s="5">
        <f t="shared" si="0"/>
        <v>4150.8625336927225</v>
      </c>
      <c r="F24" s="4" t="s">
        <v>47</v>
      </c>
      <c r="G24" s="20">
        <v>-107.35</v>
      </c>
      <c r="I24" s="13" t="s">
        <v>56</v>
      </c>
      <c r="J24" s="5">
        <f t="shared" si="1"/>
        <v>17.46</v>
      </c>
      <c r="K24" s="5">
        <f>SUMIFS('Spotlight Data Sheet Summary'!D:D,'Spotlight Data Sheet Summary'!A:A,2017,'Spotlight Data Sheet Summary'!C:C,I24)+SUMIFS('Spotlight Data Sheet Summary'!E:E,'Spotlight Data Sheet Summary'!A:A,2017,'Spotlight Data Sheet Summary'!C:C,I24)</f>
        <v>17</v>
      </c>
      <c r="L24" s="5">
        <f t="shared" si="2"/>
        <v>0.46000000000000085</v>
      </c>
    </row>
    <row r="25" spans="1:12" ht="15.75" customHeight="1" x14ac:dyDescent="0.15">
      <c r="A25" s="4" t="s">
        <v>62</v>
      </c>
      <c r="B25" s="19">
        <v>41980.3</v>
      </c>
      <c r="D25" s="5">
        <f t="shared" si="0"/>
        <v>113.15444743935311</v>
      </c>
      <c r="F25" s="4" t="s">
        <v>67</v>
      </c>
      <c r="G25" s="20">
        <v>-122.54</v>
      </c>
      <c r="I25" s="13" t="s">
        <v>59</v>
      </c>
      <c r="J25" s="5">
        <f t="shared" si="1"/>
        <v>133.33000000000001</v>
      </c>
      <c r="K25" s="5">
        <f>SUMIFS('Spotlight Data Sheet Summary'!D:D,'Spotlight Data Sheet Summary'!A:A,2017,'Spotlight Data Sheet Summary'!C:C,I25)+SUMIFS('Spotlight Data Sheet Summary'!E:E,'Spotlight Data Sheet Summary'!A:A,2017,'Spotlight Data Sheet Summary'!C:C,I25)</f>
        <v>133</v>
      </c>
      <c r="L25" s="5">
        <f t="shared" si="2"/>
        <v>0.33000000000001251</v>
      </c>
    </row>
    <row r="26" spans="1:12" ht="15.75" customHeight="1" x14ac:dyDescent="0.15">
      <c r="A26" s="4" t="s">
        <v>63</v>
      </c>
      <c r="B26" s="19">
        <v>33000</v>
      </c>
      <c r="D26" s="5">
        <f t="shared" si="0"/>
        <v>88.948787061994608</v>
      </c>
      <c r="F26" s="4" t="s">
        <v>56</v>
      </c>
      <c r="G26" s="20">
        <v>-17.46</v>
      </c>
      <c r="I26" s="13" t="s">
        <v>61</v>
      </c>
      <c r="J26" s="5">
        <f t="shared" si="1"/>
        <v>4150.8625336927225</v>
      </c>
      <c r="K26" s="5">
        <f>SUMIFS('Spotlight Data Sheet Summary'!D:D,'Spotlight Data Sheet Summary'!A:A,2017,'Spotlight Data Sheet Summary'!C:C,I26)+SUMIFS('Spotlight Data Sheet Summary'!E:E,'Spotlight Data Sheet Summary'!A:A,2017,'Spotlight Data Sheet Summary'!C:C,I26)</f>
        <v>4151</v>
      </c>
      <c r="L26" s="5">
        <f t="shared" si="2"/>
        <v>-0.13746630727746378</v>
      </c>
    </row>
    <row r="27" spans="1:12" ht="15.75" customHeight="1" x14ac:dyDescent="0.15">
      <c r="A27" s="4" t="s">
        <v>48</v>
      </c>
      <c r="B27" s="19">
        <v>1247535</v>
      </c>
      <c r="D27" s="5">
        <f t="shared" si="0"/>
        <v>3362.6280323450133</v>
      </c>
      <c r="F27" s="4" t="s">
        <v>59</v>
      </c>
      <c r="G27" s="20">
        <v>-133.33000000000001</v>
      </c>
      <c r="I27" s="13" t="s">
        <v>62</v>
      </c>
      <c r="J27" s="5">
        <f t="shared" si="1"/>
        <v>113.27444743935311</v>
      </c>
      <c r="K27" s="5">
        <f>SUMIFS('Spotlight Data Sheet Summary'!D:D,'Spotlight Data Sheet Summary'!A:A,2017,'Spotlight Data Sheet Summary'!C:C,I27)+SUMIFS('Spotlight Data Sheet Summary'!E:E,'Spotlight Data Sheet Summary'!A:A,2017,'Spotlight Data Sheet Summary'!C:C,I27)</f>
        <v>113</v>
      </c>
      <c r="L27" s="5">
        <f t="shared" si="2"/>
        <v>0.27444743935311067</v>
      </c>
    </row>
    <row r="28" spans="1:12" ht="15.75" customHeight="1" x14ac:dyDescent="0.15">
      <c r="A28" s="4" t="s">
        <v>30</v>
      </c>
      <c r="B28" s="19">
        <v>5903690</v>
      </c>
      <c r="D28" s="5">
        <f t="shared" si="0"/>
        <v>15912.911051212937</v>
      </c>
      <c r="F28" s="4" t="s">
        <v>62</v>
      </c>
      <c r="G28" s="20">
        <v>-0.12</v>
      </c>
      <c r="I28" s="13" t="s">
        <v>63</v>
      </c>
      <c r="J28" s="5">
        <f t="shared" si="1"/>
        <v>88.948787061994608</v>
      </c>
      <c r="K28" s="5">
        <f>SUMIFS('Spotlight Data Sheet Summary'!D:D,'Spotlight Data Sheet Summary'!A:A,2017,'Spotlight Data Sheet Summary'!C:C,I28)+SUMIFS('Spotlight Data Sheet Summary'!E:E,'Spotlight Data Sheet Summary'!A:A,2017,'Spotlight Data Sheet Summary'!C:C,I28)</f>
        <v>89</v>
      </c>
      <c r="L28" s="5">
        <f t="shared" si="2"/>
        <v>-5.1212938005392061E-2</v>
      </c>
    </row>
    <row r="29" spans="1:12" ht="15.75" customHeight="1" x14ac:dyDescent="0.15">
      <c r="A29" s="4" t="s">
        <v>58</v>
      </c>
      <c r="B29" s="19">
        <v>7537243.9000000004</v>
      </c>
      <c r="D29" s="5">
        <f t="shared" si="0"/>
        <v>20316.021293800539</v>
      </c>
      <c r="F29" s="4" t="s">
        <v>48</v>
      </c>
      <c r="G29" s="20">
        <v>-193.49</v>
      </c>
      <c r="I29" s="13" t="s">
        <v>48</v>
      </c>
      <c r="J29" s="5">
        <f t="shared" si="1"/>
        <v>3556.1180323450135</v>
      </c>
      <c r="K29" s="5">
        <f>SUMIFS('Spotlight Data Sheet Summary'!D:D,'Spotlight Data Sheet Summary'!A:A,2017,'Spotlight Data Sheet Summary'!C:C,I29)+SUMIFS('Spotlight Data Sheet Summary'!E:E,'Spotlight Data Sheet Summary'!A:A,2017,'Spotlight Data Sheet Summary'!C:C,I29)</f>
        <v>3555</v>
      </c>
      <c r="L29" s="5">
        <f t="shared" si="2"/>
        <v>1.1180323450134892</v>
      </c>
    </row>
    <row r="30" spans="1:12" ht="15.75" customHeight="1" x14ac:dyDescent="0.15">
      <c r="A30" s="4" t="s">
        <v>46</v>
      </c>
      <c r="B30" s="19">
        <v>2193800</v>
      </c>
      <c r="D30" s="5">
        <f t="shared" si="0"/>
        <v>5913.2075471698117</v>
      </c>
      <c r="F30" s="4" t="s">
        <v>51</v>
      </c>
      <c r="G30" s="20">
        <v>-6688.58</v>
      </c>
      <c r="I30" s="13" t="s">
        <v>30</v>
      </c>
      <c r="J30" s="5">
        <f t="shared" si="1"/>
        <v>15912.911051212937</v>
      </c>
      <c r="K30" s="5">
        <f>SUMIFS('Spotlight Data Sheet Summary'!D:D,'Spotlight Data Sheet Summary'!A:A,2017,'Spotlight Data Sheet Summary'!C:C,I30)+SUMIFS('Spotlight Data Sheet Summary'!E:E,'Spotlight Data Sheet Summary'!A:A,2017,'Spotlight Data Sheet Summary'!C:C,I30)</f>
        <v>15913</v>
      </c>
      <c r="L30" s="5">
        <f t="shared" si="2"/>
        <v>-8.8948787062690826E-2</v>
      </c>
    </row>
    <row r="31" spans="1:12" ht="15.75" customHeight="1" x14ac:dyDescent="0.15">
      <c r="A31" s="4" t="s">
        <v>21</v>
      </c>
      <c r="B31" s="19">
        <v>14821500</v>
      </c>
      <c r="D31" s="5">
        <f t="shared" si="0"/>
        <v>39950.13477088949</v>
      </c>
      <c r="F31" s="4" t="s">
        <v>50</v>
      </c>
      <c r="G31" s="20">
        <v>-234.47</v>
      </c>
      <c r="I31" s="13" t="s">
        <v>51</v>
      </c>
      <c r="J31" s="5">
        <f t="shared" si="1"/>
        <v>6688.58</v>
      </c>
      <c r="K31" s="5">
        <f>SUMIFS('Spotlight Data Sheet Summary'!D:D,'Spotlight Data Sheet Summary'!A:A,2017,'Spotlight Data Sheet Summary'!C:C,I31)+SUMIFS('Spotlight Data Sheet Summary'!E:E,'Spotlight Data Sheet Summary'!A:A,2017,'Spotlight Data Sheet Summary'!C:C,I31)</f>
        <v>6688</v>
      </c>
      <c r="L31" s="5">
        <f t="shared" si="2"/>
        <v>0.57999999999992724</v>
      </c>
    </row>
    <row r="32" spans="1:12" ht="15.75" customHeight="1" x14ac:dyDescent="0.15">
      <c r="A32" s="4" t="s">
        <v>104</v>
      </c>
      <c r="B32" s="19">
        <v>52972337.759999998</v>
      </c>
      <c r="D32" s="5">
        <f t="shared" si="0"/>
        <v>142782.5815633423</v>
      </c>
      <c r="F32" s="4" t="s">
        <v>58</v>
      </c>
      <c r="G32" s="20">
        <v>-8844.8799999999992</v>
      </c>
      <c r="I32" s="13" t="s">
        <v>50</v>
      </c>
      <c r="J32" s="5">
        <f t="shared" si="1"/>
        <v>234.47</v>
      </c>
      <c r="K32" s="5">
        <f>SUMIFS('Spotlight Data Sheet Summary'!D:D,'Spotlight Data Sheet Summary'!A:A,2017,'Spotlight Data Sheet Summary'!C:C,I32)+SUMIFS('Spotlight Data Sheet Summary'!E:E,'Spotlight Data Sheet Summary'!A:A,2017,'Spotlight Data Sheet Summary'!C:C,I32)</f>
        <v>234</v>
      </c>
      <c r="L32" s="5">
        <f t="shared" si="2"/>
        <v>0.46999999999999886</v>
      </c>
    </row>
    <row r="33" spans="1:12" ht="15.75" customHeight="1" x14ac:dyDescent="0.15">
      <c r="D33" s="5">
        <f t="shared" si="0"/>
        <v>0</v>
      </c>
      <c r="F33" s="4" t="s">
        <v>23</v>
      </c>
      <c r="G33" s="20">
        <v>-324.41000000000003</v>
      </c>
      <c r="I33" s="13" t="s">
        <v>58</v>
      </c>
      <c r="J33" s="5">
        <f t="shared" si="1"/>
        <v>29160.90129380054</v>
      </c>
      <c r="K33" s="5">
        <f>SUMIFS('Spotlight Data Sheet Summary'!D:D,'Spotlight Data Sheet Summary'!A:A,2017,'Spotlight Data Sheet Summary'!C:C,I33)+SUMIFS('Spotlight Data Sheet Summary'!E:E,'Spotlight Data Sheet Summary'!A:A,2017,'Spotlight Data Sheet Summary'!C:C,I33)</f>
        <v>29160</v>
      </c>
      <c r="L33" s="5">
        <f t="shared" si="2"/>
        <v>0.90129380053986097</v>
      </c>
    </row>
    <row r="34" spans="1:12" ht="15.75" customHeight="1" x14ac:dyDescent="0.15">
      <c r="A34" s="4" t="s">
        <v>105</v>
      </c>
      <c r="B34" s="19">
        <v>91427662.239999995</v>
      </c>
      <c r="D34" s="5">
        <f t="shared" si="0"/>
        <v>246435.74727762802</v>
      </c>
      <c r="F34" s="4" t="s">
        <v>46</v>
      </c>
      <c r="G34" s="20">
        <v>-995.44</v>
      </c>
      <c r="I34" s="13" t="s">
        <v>23</v>
      </c>
      <c r="J34" s="5">
        <f t="shared" si="1"/>
        <v>324.41000000000003</v>
      </c>
      <c r="K34" s="5">
        <f>SUMIFS('Spotlight Data Sheet Summary'!D:D,'Spotlight Data Sheet Summary'!A:A,2017,'Spotlight Data Sheet Summary'!C:C,I34)+SUMIFS('Spotlight Data Sheet Summary'!E:E,'Spotlight Data Sheet Summary'!A:A,2017,'Spotlight Data Sheet Summary'!C:C,I34)</f>
        <v>324</v>
      </c>
      <c r="L34" s="5">
        <f t="shared" si="2"/>
        <v>0.41000000000002501</v>
      </c>
    </row>
    <row r="35" spans="1:12" ht="15.75" customHeight="1" x14ac:dyDescent="0.15">
      <c r="F35" s="4" t="s">
        <v>106</v>
      </c>
      <c r="G35" s="20">
        <v>-400000</v>
      </c>
      <c r="I35" s="13" t="s">
        <v>46</v>
      </c>
      <c r="J35" s="5">
        <f t="shared" si="1"/>
        <v>6908.6475471698122</v>
      </c>
      <c r="K35" s="5">
        <f>SUMIFS('Spotlight Data Sheet Summary'!D:D,'Spotlight Data Sheet Summary'!A:A,2017,'Spotlight Data Sheet Summary'!C:C,I35)+SUMIFS('Spotlight Data Sheet Summary'!E:E,'Spotlight Data Sheet Summary'!A:A,2017,'Spotlight Data Sheet Summary'!C:C,I35)</f>
        <v>6908</v>
      </c>
      <c r="L35" s="5">
        <f t="shared" si="2"/>
        <v>0.64754716981224192</v>
      </c>
    </row>
    <row r="36" spans="1:12" ht="15.75" customHeight="1" x14ac:dyDescent="0.15">
      <c r="F36" s="4" t="s">
        <v>107</v>
      </c>
      <c r="G36" s="20">
        <v>-517811.74</v>
      </c>
      <c r="I36" s="13" t="s">
        <v>21</v>
      </c>
      <c r="J36" s="5">
        <f t="shared" si="1"/>
        <v>39950.13477088949</v>
      </c>
      <c r="K36" s="5">
        <f>SUMIFS('Spotlight Data Sheet Summary'!D:D,'Spotlight Data Sheet Summary'!A:A,2017,'Spotlight Data Sheet Summary'!C:C,I36)+SUMIFS('Spotlight Data Sheet Summary'!E:E,'Spotlight Data Sheet Summary'!A:A,2017,'Spotlight Data Sheet Summary'!C:C,I36)</f>
        <v>39950</v>
      </c>
      <c r="L36" s="5">
        <f t="shared" si="2"/>
        <v>0.13477088949002791</v>
      </c>
    </row>
    <row r="38" spans="1:12" ht="15.75" customHeight="1" x14ac:dyDescent="0.15">
      <c r="F38" s="4" t="s">
        <v>108</v>
      </c>
      <c r="G38" s="20">
        <v>5427991.2599999998</v>
      </c>
      <c r="I38" s="3" t="s">
        <v>109</v>
      </c>
      <c r="J38" s="6">
        <f>SUM(J8:J37)</f>
        <v>261263.88156334229</v>
      </c>
    </row>
    <row r="39" spans="1:12" ht="15.75" customHeight="1" x14ac:dyDescent="0.15">
      <c r="I39" s="3" t="s">
        <v>110</v>
      </c>
      <c r="J39" s="5">
        <f>SUMIF('Spotlight Data Sheet Summary'!A:A,2017,'Spotlight Data Sheet Summary'!D:D)+SUMIF('Spotlight Data Sheet Summary'!A:A,2017,'Spotlight Data Sheet Summary'!E:E)</f>
        <v>261255</v>
      </c>
    </row>
    <row r="40" spans="1:12" ht="15.75" customHeight="1" x14ac:dyDescent="0.15">
      <c r="I40" s="21" t="s">
        <v>111</v>
      </c>
      <c r="J40" s="22">
        <f>J38-J39</f>
        <v>8.8815633422927931</v>
      </c>
      <c r="K40" s="23"/>
      <c r="L40" s="24">
        <f>SUM(L8:L39)</f>
        <v>8.8815633423178362</v>
      </c>
    </row>
    <row r="41" spans="1:12" ht="15.75" customHeight="1" x14ac:dyDescent="0.15">
      <c r="F41" s="4" t="s">
        <v>112</v>
      </c>
      <c r="G41" s="20">
        <v>5427991.2599999998</v>
      </c>
    </row>
    <row r="44" spans="1:12" ht="15.75" customHeight="1" x14ac:dyDescent="0.15">
      <c r="F44" s="4" t="s">
        <v>113</v>
      </c>
      <c r="G44" s="20">
        <v>5427991.2599999998</v>
      </c>
    </row>
  </sheetData>
  <mergeCells count="9">
    <mergeCell ref="I2:J2"/>
    <mergeCell ref="I3:J3"/>
    <mergeCell ref="A1:B1"/>
    <mergeCell ref="F1:G1"/>
    <mergeCell ref="I1:J1"/>
    <mergeCell ref="A2:B2"/>
    <mergeCell ref="F2:G2"/>
    <mergeCell ref="A3:B3"/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46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.75" customHeight="1" x14ac:dyDescent="0.15"/>
  <cols>
    <col min="1" max="1" width="38.5" customWidth="1"/>
    <col min="2" max="2" width="15.5" customWidth="1"/>
    <col min="5" max="5" width="5.1640625" customWidth="1"/>
    <col min="6" max="6" width="53.33203125" customWidth="1"/>
    <col min="7" max="7" width="13" customWidth="1"/>
    <col min="9" max="9" width="41.5" customWidth="1"/>
  </cols>
  <sheetData>
    <row r="1" spans="1:12" ht="15.75" customHeight="1" x14ac:dyDescent="0.15">
      <c r="A1" s="14" t="s">
        <v>81</v>
      </c>
      <c r="B1" s="14"/>
      <c r="C1" s="15"/>
      <c r="D1" s="15"/>
      <c r="F1" s="14" t="s">
        <v>82</v>
      </c>
      <c r="G1" s="14"/>
      <c r="I1" s="29" t="s">
        <v>0</v>
      </c>
      <c r="J1" s="28"/>
      <c r="K1" s="16"/>
      <c r="L1" s="16"/>
    </row>
    <row r="2" spans="1:12" ht="15.75" customHeight="1" x14ac:dyDescent="0.15">
      <c r="A2" s="14" t="s">
        <v>83</v>
      </c>
      <c r="B2" s="14"/>
      <c r="C2" s="15"/>
      <c r="D2" s="15"/>
      <c r="F2" s="14" t="s">
        <v>84</v>
      </c>
      <c r="G2" s="14"/>
      <c r="I2" s="29" t="s">
        <v>85</v>
      </c>
      <c r="J2" s="28"/>
      <c r="K2" s="16"/>
      <c r="L2" s="16"/>
    </row>
    <row r="3" spans="1:12" ht="15.75" customHeight="1" x14ac:dyDescent="0.15">
      <c r="A3" s="14" t="s">
        <v>114</v>
      </c>
      <c r="B3" s="14"/>
      <c r="C3" s="15"/>
      <c r="D3" s="15"/>
      <c r="F3" s="14" t="s">
        <v>114</v>
      </c>
      <c r="G3" s="14"/>
      <c r="I3" s="29" t="s">
        <v>114</v>
      </c>
      <c r="J3" s="28"/>
      <c r="K3" s="16"/>
      <c r="L3" s="16"/>
    </row>
    <row r="4" spans="1:12" ht="15.75" customHeight="1" x14ac:dyDescent="0.15">
      <c r="A4" s="15"/>
      <c r="B4" s="15"/>
      <c r="C4" s="15"/>
      <c r="D4" s="15"/>
      <c r="F4" s="15"/>
      <c r="G4" s="15"/>
      <c r="I4" s="15"/>
      <c r="J4" s="15"/>
      <c r="K4" s="16"/>
      <c r="L4" s="16"/>
    </row>
    <row r="5" spans="1:12" ht="15.75" customHeight="1" x14ac:dyDescent="0.15">
      <c r="A5" s="15"/>
      <c r="B5" s="17">
        <v>43465</v>
      </c>
      <c r="C5" s="18" t="s">
        <v>87</v>
      </c>
      <c r="D5" s="18" t="s">
        <v>88</v>
      </c>
      <c r="F5" s="15"/>
      <c r="G5" s="17">
        <v>43465</v>
      </c>
      <c r="I5" s="15"/>
      <c r="J5" s="11" t="s">
        <v>89</v>
      </c>
      <c r="K5" s="11" t="s">
        <v>90</v>
      </c>
      <c r="L5" s="11" t="s">
        <v>91</v>
      </c>
    </row>
    <row r="6" spans="1:12" ht="15.75" customHeight="1" x14ac:dyDescent="0.15">
      <c r="C6" s="4">
        <v>361.14</v>
      </c>
    </row>
    <row r="7" spans="1:12" ht="15.75" customHeight="1" x14ac:dyDescent="0.15">
      <c r="A7" s="4" t="s">
        <v>92</v>
      </c>
      <c r="F7" s="4" t="s">
        <v>93</v>
      </c>
    </row>
    <row r="8" spans="1:12" ht="15.75" customHeight="1" x14ac:dyDescent="0.15">
      <c r="A8" s="4" t="s">
        <v>94</v>
      </c>
      <c r="B8" s="19">
        <v>404409474.10000002</v>
      </c>
      <c r="D8" s="5">
        <f t="shared" ref="D8:D38" si="0">IFERROR(B8/$C$6,0)</f>
        <v>1119813.5739602372</v>
      </c>
      <c r="F8" s="4" t="s">
        <v>95</v>
      </c>
      <c r="G8" s="20">
        <v>253500</v>
      </c>
      <c r="I8" s="4" t="s">
        <v>37</v>
      </c>
      <c r="J8" s="5">
        <f t="shared" ref="J8:J37" si="1">SUMIF(A:A,I8,D:D)-SUMIF(F:F,I8,G:G)</f>
        <v>273600</v>
      </c>
      <c r="K8" s="5">
        <f>SUMIFS('Spotlight Data Sheet Summary'!D:D,'Spotlight Data Sheet Summary'!A:A,2018,'Spotlight Data Sheet Summary'!C:C,I8)+SUMIFS('Spotlight Data Sheet Summary'!E:E,'Spotlight Data Sheet Summary'!A:A,2018,'Spotlight Data Sheet Summary'!C:C,I8)</f>
        <v>273600</v>
      </c>
      <c r="L8" s="5">
        <f t="shared" ref="L8:L37" si="2">J8-K8</f>
        <v>0</v>
      </c>
    </row>
    <row r="9" spans="1:12" ht="15.75" customHeight="1" x14ac:dyDescent="0.15">
      <c r="A9" s="4" t="s">
        <v>96</v>
      </c>
      <c r="B9" s="19">
        <v>404409474.10000002</v>
      </c>
      <c r="D9" s="5">
        <f t="shared" si="0"/>
        <v>1119813.5739602372</v>
      </c>
      <c r="F9" s="4" t="s">
        <v>97</v>
      </c>
      <c r="G9" s="20">
        <v>22473</v>
      </c>
      <c r="I9" s="4" t="s">
        <v>33</v>
      </c>
      <c r="J9" s="5">
        <f t="shared" si="1"/>
        <v>170122.00531649776</v>
      </c>
      <c r="K9" s="5">
        <f>SUMIFS('Spotlight Data Sheet Summary'!D:D,'Spotlight Data Sheet Summary'!A:A,2018,'Spotlight Data Sheet Summary'!C:C,I9)+SUMIFS('Spotlight Data Sheet Summary'!E:E,'Spotlight Data Sheet Summary'!A:A,2018,'Spotlight Data Sheet Summary'!C:C,I9)</f>
        <v>170122</v>
      </c>
      <c r="L9" s="5">
        <f t="shared" si="2"/>
        <v>5.3164977580308914E-3</v>
      </c>
    </row>
    <row r="10" spans="1:12" ht="15.75" customHeight="1" x14ac:dyDescent="0.15">
      <c r="D10" s="5">
        <f t="shared" si="0"/>
        <v>0</v>
      </c>
      <c r="F10" s="4" t="s">
        <v>98</v>
      </c>
      <c r="G10" s="20">
        <v>275973</v>
      </c>
      <c r="I10" s="4" t="s">
        <v>42</v>
      </c>
      <c r="J10" s="5">
        <f t="shared" si="1"/>
        <v>93149.9</v>
      </c>
      <c r="K10" s="5">
        <f>SUMIFS('Spotlight Data Sheet Summary'!D:D,'Spotlight Data Sheet Summary'!A:A,2018,'Spotlight Data Sheet Summary'!C:C,I10)+SUMIFS('Spotlight Data Sheet Summary'!E:E,'Spotlight Data Sheet Summary'!A:A,2018,'Spotlight Data Sheet Summary'!C:C,I10)</f>
        <v>93150</v>
      </c>
      <c r="L10" s="5">
        <f t="shared" si="2"/>
        <v>-0.10000000000582077</v>
      </c>
    </row>
    <row r="11" spans="1:12" ht="15.75" customHeight="1" x14ac:dyDescent="0.15">
      <c r="A11" s="4" t="s">
        <v>99</v>
      </c>
      <c r="B11" s="19">
        <v>404409474.10000002</v>
      </c>
      <c r="D11" s="5">
        <f t="shared" si="0"/>
        <v>1119813.5739602372</v>
      </c>
      <c r="I11" s="4" t="s">
        <v>43</v>
      </c>
      <c r="J11" s="5">
        <f t="shared" si="1"/>
        <v>61967.11</v>
      </c>
      <c r="K11" s="5">
        <f>SUMIFS('Spotlight Data Sheet Summary'!D:D,'Spotlight Data Sheet Summary'!A:A,2018,'Spotlight Data Sheet Summary'!C:C,I11)+SUMIFS('Spotlight Data Sheet Summary'!E:E,'Spotlight Data Sheet Summary'!A:A,2018,'Spotlight Data Sheet Summary'!C:C,I11)</f>
        <v>61967</v>
      </c>
      <c r="L11" s="5">
        <f t="shared" si="2"/>
        <v>0.11000000000058208</v>
      </c>
    </row>
    <row r="12" spans="1:12" ht="15.75" customHeight="1" x14ac:dyDescent="0.15">
      <c r="D12" s="5">
        <f t="shared" si="0"/>
        <v>0</v>
      </c>
      <c r="F12" s="4" t="s">
        <v>99</v>
      </c>
      <c r="G12" s="20">
        <v>275973</v>
      </c>
      <c r="I12" s="4" t="s">
        <v>38</v>
      </c>
      <c r="J12" s="5">
        <f t="shared" si="1"/>
        <v>13953.6</v>
      </c>
      <c r="K12" s="5">
        <f>SUMIFS('Spotlight Data Sheet Summary'!D:D,'Spotlight Data Sheet Summary'!A:A,2018,'Spotlight Data Sheet Summary'!C:C,I12)+SUMIFS('Spotlight Data Sheet Summary'!E:E,'Spotlight Data Sheet Summary'!A:A,2018,'Spotlight Data Sheet Summary'!C:C,I12)</f>
        <v>13954</v>
      </c>
      <c r="L12" s="5">
        <f t="shared" si="2"/>
        <v>-0.3999999999996362</v>
      </c>
    </row>
    <row r="13" spans="1:12" ht="15.75" customHeight="1" x14ac:dyDescent="0.15">
      <c r="A13" s="4" t="s">
        <v>100</v>
      </c>
      <c r="D13" s="5">
        <f t="shared" si="0"/>
        <v>0</v>
      </c>
      <c r="I13" s="4" t="s">
        <v>34</v>
      </c>
      <c r="J13" s="5">
        <f t="shared" si="1"/>
        <v>14794.831782688154</v>
      </c>
      <c r="K13" s="5">
        <f>SUMIFS('Spotlight Data Sheet Summary'!D:D,'Spotlight Data Sheet Summary'!A:A,2018,'Spotlight Data Sheet Summary'!C:C,I13)+SUMIFS('Spotlight Data Sheet Summary'!E:E,'Spotlight Data Sheet Summary'!A:A,2018,'Spotlight Data Sheet Summary'!C:C,I13)</f>
        <v>14796</v>
      </c>
      <c r="L13" s="5">
        <f t="shared" si="2"/>
        <v>-1.1682173118460923</v>
      </c>
    </row>
    <row r="14" spans="1:12" ht="15.75" customHeight="1" x14ac:dyDescent="0.15">
      <c r="A14" s="4" t="s">
        <v>33</v>
      </c>
      <c r="B14" s="19">
        <v>61437861</v>
      </c>
      <c r="D14" s="5">
        <f t="shared" si="0"/>
        <v>170122.00531649776</v>
      </c>
      <c r="F14" s="4" t="s">
        <v>101</v>
      </c>
      <c r="G14" s="20">
        <v>275973</v>
      </c>
      <c r="I14" s="4" t="s">
        <v>39</v>
      </c>
      <c r="J14" s="5">
        <f t="shared" si="1"/>
        <v>819.16</v>
      </c>
      <c r="K14" s="5">
        <f>SUMIFS('Spotlight Data Sheet Summary'!D:D,'Spotlight Data Sheet Summary'!A:A,2018,'Spotlight Data Sheet Summary'!C:C,I14)+SUMIFS('Spotlight Data Sheet Summary'!E:E,'Spotlight Data Sheet Summary'!A:A,2018,'Spotlight Data Sheet Summary'!C:C,I14)</f>
        <v>819</v>
      </c>
      <c r="L14" s="5">
        <f t="shared" si="2"/>
        <v>0.15999999999996817</v>
      </c>
    </row>
    <row r="15" spans="1:12" ht="15.75" customHeight="1" x14ac:dyDescent="0.15">
      <c r="A15" s="4" t="s">
        <v>34</v>
      </c>
      <c r="B15" s="19">
        <v>5343005.55</v>
      </c>
      <c r="D15" s="5">
        <f t="shared" si="0"/>
        <v>14794.831782688154</v>
      </c>
      <c r="I15" s="4" t="s">
        <v>40</v>
      </c>
      <c r="J15" s="5">
        <f t="shared" si="1"/>
        <v>10800</v>
      </c>
      <c r="K15" s="5">
        <f>SUMIFS('Spotlight Data Sheet Summary'!D:D,'Spotlight Data Sheet Summary'!A:A,2018,'Spotlight Data Sheet Summary'!C:C,I15)+SUMIFS('Spotlight Data Sheet Summary'!E:E,'Spotlight Data Sheet Summary'!A:A,2018,'Spotlight Data Sheet Summary'!C:C,I15)</f>
        <v>10800</v>
      </c>
      <c r="L15" s="5">
        <f t="shared" si="2"/>
        <v>0</v>
      </c>
    </row>
    <row r="16" spans="1:12" ht="15.75" customHeight="1" x14ac:dyDescent="0.15">
      <c r="A16" s="4" t="s">
        <v>53</v>
      </c>
      <c r="B16" s="19">
        <v>583521.77</v>
      </c>
      <c r="D16" s="5">
        <f t="shared" si="0"/>
        <v>1615.7771778257741</v>
      </c>
      <c r="F16" s="4" t="s">
        <v>102</v>
      </c>
      <c r="I16" s="4" t="s">
        <v>53</v>
      </c>
      <c r="J16" s="5">
        <f t="shared" si="1"/>
        <v>5136.5671778257738</v>
      </c>
      <c r="K16" s="5">
        <f>SUMIFS('Spotlight Data Sheet Summary'!D:D,'Spotlight Data Sheet Summary'!A:A,2018,'Spotlight Data Sheet Summary'!C:C,I16)+SUMIFS('Spotlight Data Sheet Summary'!E:E,'Spotlight Data Sheet Summary'!A:A,2018,'Spotlight Data Sheet Summary'!C:C,I16)</f>
        <v>5137</v>
      </c>
      <c r="L16" s="5">
        <f t="shared" si="2"/>
        <v>-0.43282217422620306</v>
      </c>
    </row>
    <row r="17" spans="1:12" ht="15.75" customHeight="1" x14ac:dyDescent="0.15">
      <c r="A17" s="4" t="s">
        <v>35</v>
      </c>
      <c r="B17" s="19">
        <v>12904267.32</v>
      </c>
      <c r="D17" s="5">
        <f t="shared" si="0"/>
        <v>35732.03555407875</v>
      </c>
      <c r="F17" s="4" t="s">
        <v>103</v>
      </c>
      <c r="G17" s="20">
        <v>4918.34</v>
      </c>
      <c r="I17" s="4" t="s">
        <v>35</v>
      </c>
      <c r="J17" s="5">
        <f t="shared" si="1"/>
        <v>35732.03555407875</v>
      </c>
      <c r="K17" s="5">
        <f>SUMIFS('Spotlight Data Sheet Summary'!D:D,'Spotlight Data Sheet Summary'!A:A,2018,'Spotlight Data Sheet Summary'!C:C,I17)+SUMIFS('Spotlight Data Sheet Summary'!E:E,'Spotlight Data Sheet Summary'!A:A,2018,'Spotlight Data Sheet Summary'!C:C,I17)</f>
        <v>35732</v>
      </c>
      <c r="L17" s="5">
        <f t="shared" si="2"/>
        <v>3.5554078749555629E-2</v>
      </c>
    </row>
    <row r="18" spans="1:12" ht="15.75" customHeight="1" x14ac:dyDescent="0.15">
      <c r="A18" s="4" t="s">
        <v>55</v>
      </c>
      <c r="B18" s="19">
        <v>980700</v>
      </c>
      <c r="D18" s="5">
        <f t="shared" si="0"/>
        <v>2715.5673699950157</v>
      </c>
      <c r="F18" s="4" t="s">
        <v>37</v>
      </c>
      <c r="G18" s="20">
        <v>-273600</v>
      </c>
      <c r="I18" s="4" t="s">
        <v>55</v>
      </c>
      <c r="J18" s="5">
        <f t="shared" si="1"/>
        <v>19395.567369995017</v>
      </c>
      <c r="K18" s="5">
        <f>SUMIFS('Spotlight Data Sheet Summary'!D:D,'Spotlight Data Sheet Summary'!A:A,2018,'Spotlight Data Sheet Summary'!C:C,I18)+SUMIFS('Spotlight Data Sheet Summary'!E:E,'Spotlight Data Sheet Summary'!A:A,2018,'Spotlight Data Sheet Summary'!C:C,I18)</f>
        <v>19389</v>
      </c>
      <c r="L18" s="5">
        <f t="shared" si="2"/>
        <v>6.5673699950166338</v>
      </c>
    </row>
    <row r="19" spans="1:12" ht="15.75" customHeight="1" x14ac:dyDescent="0.15">
      <c r="A19" s="4" t="s">
        <v>47</v>
      </c>
      <c r="B19" s="19">
        <v>1830962.32</v>
      </c>
      <c r="D19" s="5">
        <f t="shared" si="0"/>
        <v>5069.9515977183364</v>
      </c>
      <c r="F19" s="4" t="s">
        <v>42</v>
      </c>
      <c r="G19" s="20">
        <v>-93149.9</v>
      </c>
      <c r="I19" s="4" t="s">
        <v>47</v>
      </c>
      <c r="J19" s="5">
        <f t="shared" si="1"/>
        <v>8911.3615977183363</v>
      </c>
      <c r="K19" s="5">
        <f>SUMIFS('Spotlight Data Sheet Summary'!D:D,'Spotlight Data Sheet Summary'!A:A,2018,'Spotlight Data Sheet Summary'!C:C,I19)+SUMIFS('Spotlight Data Sheet Summary'!E:E,'Spotlight Data Sheet Summary'!A:A,2018,'Spotlight Data Sheet Summary'!C:C,I19)</f>
        <v>8911</v>
      </c>
      <c r="L19" s="5">
        <f t="shared" si="2"/>
        <v>0.36159771833627019</v>
      </c>
    </row>
    <row r="20" spans="1:12" ht="15.75" customHeight="1" x14ac:dyDescent="0.15">
      <c r="A20" s="4" t="s">
        <v>28</v>
      </c>
      <c r="B20" s="19">
        <v>3211290</v>
      </c>
      <c r="D20" s="5">
        <f t="shared" si="0"/>
        <v>8892.0917095863097</v>
      </c>
      <c r="F20" s="4" t="s">
        <v>43</v>
      </c>
      <c r="G20" s="20">
        <v>-61967.11</v>
      </c>
      <c r="I20" s="4" t="s">
        <v>28</v>
      </c>
      <c r="J20" s="5">
        <f t="shared" si="1"/>
        <v>8924.1317095863105</v>
      </c>
      <c r="K20" s="5">
        <f>SUMIFS('Spotlight Data Sheet Summary'!D:D,'Spotlight Data Sheet Summary'!A:A,2018,'Spotlight Data Sheet Summary'!C:C,I20)+SUMIFS('Spotlight Data Sheet Summary'!E:E,'Spotlight Data Sheet Summary'!A:A,2018,'Spotlight Data Sheet Summary'!C:C,I20)</f>
        <v>8925</v>
      </c>
      <c r="L20" s="5">
        <f t="shared" si="2"/>
        <v>-0.86829041368946491</v>
      </c>
    </row>
    <row r="21" spans="1:12" ht="15.75" customHeight="1" x14ac:dyDescent="0.15">
      <c r="A21" s="4" t="s">
        <v>22</v>
      </c>
      <c r="B21" s="19">
        <v>109298776.48999999</v>
      </c>
      <c r="D21" s="5">
        <f t="shared" si="0"/>
        <v>302649.32294954866</v>
      </c>
      <c r="F21" s="4" t="s">
        <v>38</v>
      </c>
      <c r="G21" s="20">
        <v>-13953.6</v>
      </c>
      <c r="I21" s="4" t="s">
        <v>22</v>
      </c>
      <c r="J21" s="5">
        <f t="shared" si="1"/>
        <v>302649.32294954866</v>
      </c>
      <c r="K21" s="5">
        <f>SUMIFS('Spotlight Data Sheet Summary'!D:D,'Spotlight Data Sheet Summary'!A:A,2018,'Spotlight Data Sheet Summary'!C:C,I21)+SUMIFS('Spotlight Data Sheet Summary'!E:E,'Spotlight Data Sheet Summary'!A:A,2018,'Spotlight Data Sheet Summary'!C:C,I21)</f>
        <v>302649</v>
      </c>
      <c r="L21" s="5">
        <f t="shared" si="2"/>
        <v>0.32294954865938053</v>
      </c>
    </row>
    <row r="22" spans="1:12" ht="15.75" customHeight="1" x14ac:dyDescent="0.15">
      <c r="A22" s="4" t="s">
        <v>68</v>
      </c>
      <c r="B22" s="19">
        <v>4500</v>
      </c>
      <c r="D22" s="5">
        <f t="shared" si="0"/>
        <v>12.460541618209005</v>
      </c>
      <c r="F22" s="4" t="s">
        <v>39</v>
      </c>
      <c r="G22" s="20">
        <v>-819.16</v>
      </c>
      <c r="I22" s="4" t="s">
        <v>68</v>
      </c>
      <c r="J22" s="5">
        <f t="shared" si="1"/>
        <v>12.460541618209005</v>
      </c>
      <c r="K22" s="5">
        <f>SUMIFS('Spotlight Data Sheet Summary'!D:D,'Spotlight Data Sheet Summary'!A:A,2018,'Spotlight Data Sheet Summary'!C:C,I22)+SUMIFS('Spotlight Data Sheet Summary'!E:E,'Spotlight Data Sheet Summary'!A:A,2018,'Spotlight Data Sheet Summary'!C:C,I22)</f>
        <v>13</v>
      </c>
      <c r="L22" s="5">
        <f t="shared" si="2"/>
        <v>-0.53945838179099503</v>
      </c>
    </row>
    <row r="23" spans="1:12" ht="15.75" customHeight="1" x14ac:dyDescent="0.15">
      <c r="A23" s="4" t="s">
        <v>29</v>
      </c>
      <c r="B23" s="19">
        <v>7132425</v>
      </c>
      <c r="D23" s="5">
        <f t="shared" si="0"/>
        <v>19749.750789167636</v>
      </c>
      <c r="F23" s="4" t="s">
        <v>40</v>
      </c>
      <c r="G23" s="20">
        <v>-10800</v>
      </c>
      <c r="I23" s="4" t="s">
        <v>29</v>
      </c>
      <c r="J23" s="5">
        <f t="shared" si="1"/>
        <v>19749.750789167636</v>
      </c>
      <c r="K23" s="5">
        <f>SUMIFS('Spotlight Data Sheet Summary'!D:D,'Spotlight Data Sheet Summary'!A:A,2018,'Spotlight Data Sheet Summary'!C:C,I23)+SUMIFS('Spotlight Data Sheet Summary'!E:E,'Spotlight Data Sheet Summary'!A:A,2018,'Spotlight Data Sheet Summary'!C:C,I23)</f>
        <v>19749</v>
      </c>
      <c r="L23" s="5">
        <f t="shared" si="2"/>
        <v>0.75078916763595771</v>
      </c>
    </row>
    <row r="24" spans="1:12" ht="15.75" customHeight="1" x14ac:dyDescent="0.15">
      <c r="A24" s="4" t="s">
        <v>69</v>
      </c>
      <c r="B24" s="19">
        <v>143115</v>
      </c>
      <c r="D24" s="5">
        <f t="shared" si="0"/>
        <v>396.28675859777371</v>
      </c>
      <c r="F24" s="4" t="s">
        <v>53</v>
      </c>
      <c r="G24" s="20">
        <v>-3520.79</v>
      </c>
      <c r="I24" s="4" t="s">
        <v>69</v>
      </c>
      <c r="J24" s="5">
        <f t="shared" si="1"/>
        <v>396.28675859777371</v>
      </c>
      <c r="K24" s="5">
        <f>SUMIFS('Spotlight Data Sheet Summary'!D:D,'Spotlight Data Sheet Summary'!A:A,2018,'Spotlight Data Sheet Summary'!C:C,I24)+SUMIFS('Spotlight Data Sheet Summary'!E:E,'Spotlight Data Sheet Summary'!A:A,2018,'Spotlight Data Sheet Summary'!C:C,I24)</f>
        <v>396</v>
      </c>
      <c r="L24" s="5">
        <f t="shared" si="2"/>
        <v>0.28675859777371215</v>
      </c>
    </row>
    <row r="25" spans="1:12" ht="15.75" customHeight="1" x14ac:dyDescent="0.15">
      <c r="A25" s="4" t="s">
        <v>56</v>
      </c>
      <c r="B25" s="19">
        <v>2268150</v>
      </c>
      <c r="D25" s="5">
        <f t="shared" si="0"/>
        <v>6280.5283269646125</v>
      </c>
      <c r="F25" s="4" t="s">
        <v>55</v>
      </c>
      <c r="G25" s="20">
        <v>-16680</v>
      </c>
      <c r="I25" s="4" t="s">
        <v>56</v>
      </c>
      <c r="J25" s="5">
        <f t="shared" si="1"/>
        <v>22658.078326964613</v>
      </c>
      <c r="K25" s="5">
        <f>SUMIFS('Spotlight Data Sheet Summary'!D:D,'Spotlight Data Sheet Summary'!A:A,2018,'Spotlight Data Sheet Summary'!C:C,I25)+SUMIFS('Spotlight Data Sheet Summary'!E:E,'Spotlight Data Sheet Summary'!A:A,2018,'Spotlight Data Sheet Summary'!C:C,I25)</f>
        <v>22657</v>
      </c>
      <c r="L25" s="5">
        <f t="shared" si="2"/>
        <v>1.0783269646126428</v>
      </c>
    </row>
    <row r="26" spans="1:12" ht="15.75" customHeight="1" x14ac:dyDescent="0.15">
      <c r="A26" s="4" t="s">
        <v>61</v>
      </c>
      <c r="B26" s="19">
        <v>5034701</v>
      </c>
      <c r="D26" s="5">
        <f t="shared" si="0"/>
        <v>13941.133632386332</v>
      </c>
      <c r="F26" s="4" t="s">
        <v>47</v>
      </c>
      <c r="G26" s="20">
        <v>-3841.41</v>
      </c>
      <c r="I26" s="4" t="s">
        <v>61</v>
      </c>
      <c r="J26" s="5">
        <f t="shared" si="1"/>
        <v>14619.033632386332</v>
      </c>
      <c r="K26" s="5">
        <f>SUMIFS('Spotlight Data Sheet Summary'!D:D,'Spotlight Data Sheet Summary'!A:A,2018,'Spotlight Data Sheet Summary'!C:C,I26)+SUMIFS('Spotlight Data Sheet Summary'!E:E,'Spotlight Data Sheet Summary'!A:A,2018,'Spotlight Data Sheet Summary'!C:C,I26)</f>
        <v>14620</v>
      </c>
      <c r="L26" s="5">
        <f t="shared" si="2"/>
        <v>-0.96636761366789869</v>
      </c>
    </row>
    <row r="27" spans="1:12" ht="15.75" customHeight="1" x14ac:dyDescent="0.15">
      <c r="A27" s="4" t="s">
        <v>62</v>
      </c>
      <c r="B27" s="19">
        <v>77068.759999999995</v>
      </c>
      <c r="D27" s="5">
        <f t="shared" si="0"/>
        <v>213.40410920972477</v>
      </c>
      <c r="F27" s="4" t="s">
        <v>28</v>
      </c>
      <c r="G27" s="20">
        <v>-32.04</v>
      </c>
      <c r="I27" s="4" t="s">
        <v>62</v>
      </c>
      <c r="J27" s="5">
        <f t="shared" si="1"/>
        <v>213.44410920972476</v>
      </c>
      <c r="K27" s="5">
        <f>SUMIFS('Spotlight Data Sheet Summary'!D:D,'Spotlight Data Sheet Summary'!A:A,2018,'Spotlight Data Sheet Summary'!C:C,I27)+SUMIFS('Spotlight Data Sheet Summary'!E:E,'Spotlight Data Sheet Summary'!A:A,2018,'Spotlight Data Sheet Summary'!C:C,I27)</f>
        <v>213</v>
      </c>
      <c r="L27" s="5">
        <f t="shared" si="2"/>
        <v>0.44410920972475765</v>
      </c>
    </row>
    <row r="28" spans="1:12" ht="15.75" customHeight="1" x14ac:dyDescent="0.15">
      <c r="A28" s="4" t="s">
        <v>63</v>
      </c>
      <c r="B28" s="19">
        <v>95500</v>
      </c>
      <c r="D28" s="5">
        <f t="shared" si="0"/>
        <v>264.44038323088</v>
      </c>
      <c r="F28" s="4" t="s">
        <v>56</v>
      </c>
      <c r="G28" s="20">
        <v>-16377.55</v>
      </c>
      <c r="I28" s="4" t="s">
        <v>63</v>
      </c>
      <c r="J28" s="5">
        <f t="shared" si="1"/>
        <v>264.44038323088</v>
      </c>
      <c r="K28" s="5">
        <f>SUMIFS('Spotlight Data Sheet Summary'!D:D,'Spotlight Data Sheet Summary'!A:A,2018,'Spotlight Data Sheet Summary'!C:C,I28)+SUMIFS('Spotlight Data Sheet Summary'!E:E,'Spotlight Data Sheet Summary'!A:A,2018,'Spotlight Data Sheet Summary'!C:C,I28)</f>
        <v>265</v>
      </c>
      <c r="L28" s="5">
        <f t="shared" si="2"/>
        <v>-0.55961676911999803</v>
      </c>
    </row>
    <row r="29" spans="1:12" ht="15.75" customHeight="1" x14ac:dyDescent="0.15">
      <c r="A29" s="4" t="s">
        <v>48</v>
      </c>
      <c r="B29" s="19">
        <v>1718120</v>
      </c>
      <c r="D29" s="5">
        <f t="shared" si="0"/>
        <v>4757.4901700171677</v>
      </c>
      <c r="F29" s="4" t="s">
        <v>61</v>
      </c>
      <c r="G29" s="20">
        <v>-677.9</v>
      </c>
      <c r="I29" s="4" t="s">
        <v>48</v>
      </c>
      <c r="J29" s="5">
        <f t="shared" si="1"/>
        <v>5608.8201700171676</v>
      </c>
      <c r="K29" s="5">
        <f>SUMIFS('Spotlight Data Sheet Summary'!D:D,'Spotlight Data Sheet Summary'!A:A,2018,'Spotlight Data Sheet Summary'!C:C,I29)+SUMIFS('Spotlight Data Sheet Summary'!E:E,'Spotlight Data Sheet Summary'!A:A,2018,'Spotlight Data Sheet Summary'!C:C,I29)</f>
        <v>5608</v>
      </c>
      <c r="L29" s="5">
        <f t="shared" si="2"/>
        <v>0.82017001716758386</v>
      </c>
    </row>
    <row r="30" spans="1:12" ht="15.75" customHeight="1" x14ac:dyDescent="0.15">
      <c r="A30" s="4" t="s">
        <v>30</v>
      </c>
      <c r="B30" s="19">
        <v>12624885</v>
      </c>
      <c r="D30" s="5">
        <f t="shared" si="0"/>
        <v>34958.42332613391</v>
      </c>
      <c r="F30" s="4" t="s">
        <v>62</v>
      </c>
      <c r="G30" s="20">
        <v>-0.04</v>
      </c>
      <c r="I30" s="4" t="s">
        <v>30</v>
      </c>
      <c r="J30" s="5">
        <f t="shared" si="1"/>
        <v>35008.31332613391</v>
      </c>
      <c r="K30" s="5">
        <f>SUMIFS('Spotlight Data Sheet Summary'!D:D,'Spotlight Data Sheet Summary'!A:A,2018,'Spotlight Data Sheet Summary'!C:C,I30)+SUMIFS('Spotlight Data Sheet Summary'!E:E,'Spotlight Data Sheet Summary'!A:A,2018,'Spotlight Data Sheet Summary'!C:C,I30)</f>
        <v>35006</v>
      </c>
      <c r="L30" s="5">
        <f t="shared" si="2"/>
        <v>2.3133261339098681</v>
      </c>
    </row>
    <row r="31" spans="1:12" ht="15.75" customHeight="1" x14ac:dyDescent="0.15">
      <c r="A31" s="4" t="s">
        <v>58</v>
      </c>
      <c r="B31" s="19">
        <v>15791705</v>
      </c>
      <c r="D31" s="5">
        <f t="shared" si="0"/>
        <v>43727.377194439832</v>
      </c>
      <c r="F31" s="4" t="s">
        <v>48</v>
      </c>
      <c r="G31" s="20">
        <v>-851.33</v>
      </c>
      <c r="I31" s="4" t="s">
        <v>44</v>
      </c>
      <c r="J31" s="5">
        <f t="shared" si="1"/>
        <v>22873.75</v>
      </c>
      <c r="K31" s="5">
        <f>SUMIFS('Spotlight Data Sheet Summary'!D:D,'Spotlight Data Sheet Summary'!A:A,2018,'Spotlight Data Sheet Summary'!C:C,I31)+SUMIFS('Spotlight Data Sheet Summary'!E:E,'Spotlight Data Sheet Summary'!A:A,2018,'Spotlight Data Sheet Summary'!C:C,I31)</f>
        <v>22874</v>
      </c>
      <c r="L31" s="5">
        <f t="shared" si="2"/>
        <v>-0.25</v>
      </c>
    </row>
    <row r="32" spans="1:12" ht="15.75" customHeight="1" x14ac:dyDescent="0.15">
      <c r="A32" s="4" t="s">
        <v>46</v>
      </c>
      <c r="B32" s="19">
        <v>9516552</v>
      </c>
      <c r="D32" s="5">
        <f t="shared" si="0"/>
        <v>26351.420501744476</v>
      </c>
      <c r="F32" s="4" t="s">
        <v>30</v>
      </c>
      <c r="G32" s="20">
        <v>-49.89</v>
      </c>
      <c r="I32" s="4" t="s">
        <v>51</v>
      </c>
      <c r="J32" s="5">
        <f t="shared" si="1"/>
        <v>69918.64</v>
      </c>
      <c r="K32" s="5">
        <f>SUMIFS('Spotlight Data Sheet Summary'!D:D,'Spotlight Data Sheet Summary'!A:A,2018,'Spotlight Data Sheet Summary'!C:C,I32)+SUMIFS('Spotlight Data Sheet Summary'!E:E,'Spotlight Data Sheet Summary'!A:A,2018,'Spotlight Data Sheet Summary'!C:C,I32)</f>
        <v>69919</v>
      </c>
      <c r="L32" s="5">
        <f t="shared" si="2"/>
        <v>-0.36000000000058208</v>
      </c>
    </row>
    <row r="33" spans="1:12" ht="15.75" customHeight="1" x14ac:dyDescent="0.15">
      <c r="A33" s="4" t="s">
        <v>32</v>
      </c>
      <c r="B33" s="19">
        <v>15819001.1</v>
      </c>
      <c r="D33" s="5">
        <f t="shared" si="0"/>
        <v>43802.960347787564</v>
      </c>
      <c r="F33" s="4" t="s">
        <v>44</v>
      </c>
      <c r="G33" s="20">
        <v>-22873.75</v>
      </c>
      <c r="I33" s="4" t="s">
        <v>58</v>
      </c>
      <c r="J33" s="5">
        <f t="shared" si="1"/>
        <v>65586.137194439827</v>
      </c>
      <c r="K33" s="5">
        <f>SUMIFS('Spotlight Data Sheet Summary'!D:D,'Spotlight Data Sheet Summary'!A:A,2018,'Spotlight Data Sheet Summary'!C:C,I33)+SUMIFS('Spotlight Data Sheet Summary'!E:E,'Spotlight Data Sheet Summary'!A:A,2018,'Spotlight Data Sheet Summary'!C:C,I33)</f>
        <v>65588</v>
      </c>
      <c r="L33" s="5">
        <f t="shared" si="2"/>
        <v>-1.8628055601730011</v>
      </c>
    </row>
    <row r="34" spans="1:12" ht="15.75" customHeight="1" x14ac:dyDescent="0.15">
      <c r="A34" s="4" t="s">
        <v>21</v>
      </c>
      <c r="B34" s="19">
        <v>228060730</v>
      </c>
      <c r="D34" s="5">
        <f t="shared" si="0"/>
        <v>631502.27058758377</v>
      </c>
      <c r="F34" s="4" t="s">
        <v>51</v>
      </c>
      <c r="G34" s="20">
        <v>-69918.64</v>
      </c>
      <c r="I34" s="4" t="s">
        <v>46</v>
      </c>
      <c r="J34" s="5">
        <f t="shared" si="1"/>
        <v>28802.800501744478</v>
      </c>
      <c r="K34" s="5">
        <f>SUMIFS('Spotlight Data Sheet Summary'!D:D,'Spotlight Data Sheet Summary'!A:A,2018,'Spotlight Data Sheet Summary'!C:C,I34)+SUMIFS('Spotlight Data Sheet Summary'!E:E,'Spotlight Data Sheet Summary'!A:A,2018,'Spotlight Data Sheet Summary'!C:C,I34)</f>
        <v>28802</v>
      </c>
      <c r="L34" s="5">
        <f t="shared" si="2"/>
        <v>0.80050174447751488</v>
      </c>
    </row>
    <row r="35" spans="1:12" ht="15.75" customHeight="1" x14ac:dyDescent="0.15">
      <c r="A35" s="4" t="s">
        <v>115</v>
      </c>
      <c r="B35" s="19">
        <v>2020.41</v>
      </c>
      <c r="D35" s="5">
        <f t="shared" si="0"/>
        <v>5.5945339757434791</v>
      </c>
      <c r="F35" s="4" t="s">
        <v>58</v>
      </c>
      <c r="G35" s="20">
        <v>-21858.76</v>
      </c>
      <c r="I35" s="4" t="s">
        <v>32</v>
      </c>
      <c r="J35" s="5">
        <f t="shared" si="1"/>
        <v>43802.960347787564</v>
      </c>
      <c r="K35" s="5">
        <f>SUMIFS('Spotlight Data Sheet Summary'!D:D,'Spotlight Data Sheet Summary'!A:A,2018,'Spotlight Data Sheet Summary'!C:C,I35)+SUMIFS('Spotlight Data Sheet Summary'!E:E,'Spotlight Data Sheet Summary'!A:A,2018,'Spotlight Data Sheet Summary'!C:C,I35)</f>
        <v>43803</v>
      </c>
      <c r="L35" s="5">
        <f t="shared" si="2"/>
        <v>-3.9652212435612455E-2</v>
      </c>
    </row>
    <row r="36" spans="1:12" ht="15.75" customHeight="1" x14ac:dyDescent="0.15">
      <c r="A36" s="4" t="s">
        <v>104</v>
      </c>
      <c r="B36" s="19">
        <v>493878857.72000003</v>
      </c>
      <c r="D36" s="5">
        <f t="shared" si="0"/>
        <v>1367555.1246607965</v>
      </c>
      <c r="F36" s="4" t="s">
        <v>46</v>
      </c>
      <c r="G36" s="20">
        <v>-2451.38</v>
      </c>
      <c r="I36" s="4" t="s">
        <v>21</v>
      </c>
      <c r="J36" s="5">
        <f t="shared" si="1"/>
        <v>631502.27058758377</v>
      </c>
      <c r="K36" s="5">
        <f>SUMIFS('Spotlight Data Sheet Summary'!D:D,'Spotlight Data Sheet Summary'!A:A,2018,'Spotlight Data Sheet Summary'!C:C,I36)+SUMIFS('Spotlight Data Sheet Summary'!E:E,'Spotlight Data Sheet Summary'!A:A,2018,'Spotlight Data Sheet Summary'!C:C,I36)</f>
        <v>631503</v>
      </c>
      <c r="L36" s="5">
        <f t="shared" si="2"/>
        <v>-0.72941241622902453</v>
      </c>
    </row>
    <row r="37" spans="1:12" ht="15.75" customHeight="1" x14ac:dyDescent="0.15">
      <c r="D37" s="5">
        <f t="shared" si="0"/>
        <v>0</v>
      </c>
      <c r="F37" s="4" t="s">
        <v>106</v>
      </c>
      <c r="G37" s="12">
        <v>-1119815.42</v>
      </c>
      <c r="I37" s="4" t="s">
        <v>115</v>
      </c>
      <c r="J37" s="5">
        <f t="shared" si="1"/>
        <v>5.5945339757434791</v>
      </c>
      <c r="K37" s="25">
        <v>6</v>
      </c>
      <c r="L37" s="5">
        <f t="shared" si="2"/>
        <v>-0.4054660242565209</v>
      </c>
    </row>
    <row r="38" spans="1:12" ht="15.75" customHeight="1" x14ac:dyDescent="0.15">
      <c r="A38" s="4" t="s">
        <v>105</v>
      </c>
      <c r="B38" s="19">
        <v>-89469383.620000005</v>
      </c>
      <c r="D38" s="5">
        <f t="shared" si="0"/>
        <v>-247741.55070055937</v>
      </c>
      <c r="F38" s="4" t="s">
        <v>107</v>
      </c>
      <c r="G38" s="20">
        <v>-1728320.33</v>
      </c>
    </row>
    <row r="39" spans="1:12" ht="15.75" customHeight="1" x14ac:dyDescent="0.15">
      <c r="I39" s="3" t="s">
        <v>109</v>
      </c>
      <c r="J39" s="6">
        <f>SUM(J8:J37)</f>
        <v>1980978.374660796</v>
      </c>
    </row>
    <row r="40" spans="1:12" ht="15.75" customHeight="1" x14ac:dyDescent="0.15">
      <c r="F40" s="4" t="s">
        <v>116</v>
      </c>
      <c r="G40" s="12">
        <v>-1452347.33</v>
      </c>
      <c r="I40" s="3" t="s">
        <v>110</v>
      </c>
      <c r="J40" s="5">
        <f>SUMIF('Spotlight Data Sheet Summary'!A:A,2018,'Spotlight Data Sheet Summary'!D:D)+SUMIF('Spotlight Data Sheet Summary'!A:A,2018,'Spotlight Data Sheet Summary'!E:E)</f>
        <v>1980973</v>
      </c>
    </row>
    <row r="41" spans="1:12" ht="15.75" customHeight="1" x14ac:dyDescent="0.15">
      <c r="F41" s="4"/>
      <c r="G41" s="20"/>
      <c r="I41" s="21" t="s">
        <v>111</v>
      </c>
      <c r="J41" s="22">
        <f>J39-J40</f>
        <v>5.37466079602018</v>
      </c>
      <c r="K41" s="23"/>
      <c r="L41" s="22">
        <f>SUM(L8:L37)</f>
        <v>5.3746607963816082</v>
      </c>
    </row>
    <row r="43" spans="1:12" ht="15.75" customHeight="1" x14ac:dyDescent="0.15">
      <c r="F43" s="4" t="s">
        <v>112</v>
      </c>
      <c r="G43" s="12">
        <v>-1452347.33</v>
      </c>
    </row>
    <row r="44" spans="1:12" ht="15.75" customHeight="1" x14ac:dyDescent="0.15">
      <c r="F44" s="4"/>
      <c r="G44" s="20"/>
    </row>
    <row r="46" spans="1:12" ht="15.75" customHeight="1" x14ac:dyDescent="0.15">
      <c r="F46" s="4" t="s">
        <v>113</v>
      </c>
      <c r="G46" s="12">
        <v>-1452347.33</v>
      </c>
    </row>
  </sheetData>
  <mergeCells count="3">
    <mergeCell ref="I1:J1"/>
    <mergeCell ref="I2:J2"/>
    <mergeCell ref="I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L46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.75" customHeight="1" x14ac:dyDescent="0.15"/>
  <cols>
    <col min="1" max="1" width="38.5" customWidth="1"/>
    <col min="2" max="2" width="15.5" customWidth="1"/>
    <col min="5" max="5" width="5.1640625" customWidth="1"/>
    <col min="6" max="6" width="53.33203125" customWidth="1"/>
    <col min="7" max="7" width="13" customWidth="1"/>
    <col min="9" max="9" width="41.5" customWidth="1"/>
  </cols>
  <sheetData>
    <row r="1" spans="1:12" ht="15.75" customHeight="1" x14ac:dyDescent="0.15">
      <c r="A1" s="14" t="s">
        <v>81</v>
      </c>
      <c r="B1" s="14"/>
      <c r="C1" s="15"/>
      <c r="D1" s="15"/>
      <c r="F1" s="14" t="s">
        <v>82</v>
      </c>
      <c r="G1" s="14"/>
      <c r="I1" s="29" t="s">
        <v>0</v>
      </c>
      <c r="J1" s="28"/>
      <c r="K1" s="16"/>
      <c r="L1" s="16"/>
    </row>
    <row r="2" spans="1:12" ht="15.75" customHeight="1" x14ac:dyDescent="0.15">
      <c r="A2" s="14" t="s">
        <v>83</v>
      </c>
      <c r="B2" s="14"/>
      <c r="C2" s="15"/>
      <c r="D2" s="15"/>
      <c r="F2" s="14" t="s">
        <v>84</v>
      </c>
      <c r="G2" s="14"/>
      <c r="I2" s="29" t="s">
        <v>85</v>
      </c>
      <c r="J2" s="28"/>
      <c r="K2" s="16"/>
      <c r="L2" s="16"/>
    </row>
    <row r="3" spans="1:12" ht="15.75" customHeight="1" x14ac:dyDescent="0.15">
      <c r="A3" s="14" t="s">
        <v>117</v>
      </c>
      <c r="B3" s="14"/>
      <c r="C3" s="15"/>
      <c r="D3" s="15"/>
      <c r="F3" s="14" t="s">
        <v>117</v>
      </c>
      <c r="G3" s="14"/>
      <c r="I3" s="29" t="s">
        <v>117</v>
      </c>
      <c r="J3" s="28"/>
      <c r="K3" s="16"/>
      <c r="L3" s="16"/>
    </row>
    <row r="4" spans="1:12" ht="15.75" customHeight="1" x14ac:dyDescent="0.15">
      <c r="A4" s="15"/>
      <c r="B4" s="15"/>
      <c r="C4" s="15"/>
      <c r="D4" s="15"/>
      <c r="F4" s="15"/>
      <c r="G4" s="15"/>
      <c r="I4" s="15"/>
      <c r="J4" s="15"/>
      <c r="K4" s="16"/>
      <c r="L4" s="16"/>
    </row>
    <row r="5" spans="1:12" ht="15.75" customHeight="1" x14ac:dyDescent="0.15">
      <c r="A5" s="15"/>
      <c r="B5" s="17">
        <v>43830</v>
      </c>
      <c r="C5" s="18" t="s">
        <v>87</v>
      </c>
      <c r="D5" s="18" t="s">
        <v>88</v>
      </c>
      <c r="F5" s="15"/>
      <c r="G5" s="17">
        <v>43830</v>
      </c>
      <c r="I5" s="15"/>
      <c r="J5" s="11" t="s">
        <v>89</v>
      </c>
      <c r="K5" s="11" t="s">
        <v>90</v>
      </c>
      <c r="L5" s="11" t="s">
        <v>91</v>
      </c>
    </row>
    <row r="6" spans="1:12" ht="15.75" customHeight="1" x14ac:dyDescent="0.15">
      <c r="C6" s="4">
        <v>356.03</v>
      </c>
    </row>
    <row r="7" spans="1:12" ht="15.75" customHeight="1" x14ac:dyDescent="0.15">
      <c r="A7" s="4" t="s">
        <v>92</v>
      </c>
      <c r="F7" s="4" t="s">
        <v>93</v>
      </c>
    </row>
    <row r="8" spans="1:12" ht="15.75" customHeight="1" x14ac:dyDescent="0.15">
      <c r="A8" s="4" t="s">
        <v>103</v>
      </c>
      <c r="B8" s="19">
        <v>14118.87</v>
      </c>
      <c r="D8" s="5">
        <f t="shared" ref="D8:D38" si="0">IFERROR(B8/$C$6,0)</f>
        <v>39.656405359098954</v>
      </c>
      <c r="F8" s="4" t="s">
        <v>95</v>
      </c>
      <c r="G8" s="20">
        <v>1500</v>
      </c>
      <c r="I8" s="4" t="s">
        <v>37</v>
      </c>
      <c r="J8" s="5">
        <f t="shared" ref="J8:J40" si="1">SUMIF(A:A,I8,D:D)-SUMIF(F:F,I8,G:G)</f>
        <v>242250</v>
      </c>
      <c r="K8" s="5">
        <f>SUMIFS('Spotlight Data Sheet Summary'!D:D,'Spotlight Data Sheet Summary'!A:A,2019,'Spotlight Data Sheet Summary'!C:C,I8)+SUMIFS('Spotlight Data Sheet Summary'!E:E,'Spotlight Data Sheet Summary'!A:A,2019,'Spotlight Data Sheet Summary'!C:C,I8)</f>
        <v>242250</v>
      </c>
      <c r="L8" s="5">
        <f t="shared" ref="L8:L40" si="2">J8-K8</f>
        <v>0</v>
      </c>
    </row>
    <row r="9" spans="1:12" ht="15.75" customHeight="1" x14ac:dyDescent="0.15">
      <c r="A9" s="4" t="s">
        <v>94</v>
      </c>
      <c r="B9" s="19">
        <v>851267406.89999998</v>
      </c>
      <c r="D9" s="5">
        <f t="shared" si="0"/>
        <v>2390999.092492206</v>
      </c>
      <c r="F9" s="4" t="s">
        <v>97</v>
      </c>
      <c r="G9" s="20">
        <v>16895</v>
      </c>
      <c r="I9" s="4" t="s">
        <v>33</v>
      </c>
      <c r="J9" s="5">
        <f t="shared" si="1"/>
        <v>372863.59014689777</v>
      </c>
      <c r="K9" s="5">
        <f>SUMIFS('Spotlight Data Sheet Summary'!D:D,'Spotlight Data Sheet Summary'!A:A,2019,'Spotlight Data Sheet Summary'!C:C,I9)+SUMIFS('Spotlight Data Sheet Summary'!E:E,'Spotlight Data Sheet Summary'!A:A,2019,'Spotlight Data Sheet Summary'!C:C,I9)</f>
        <v>372863</v>
      </c>
      <c r="L9" s="5">
        <f t="shared" si="2"/>
        <v>0.59014689776813611</v>
      </c>
    </row>
    <row r="10" spans="1:12" ht="15.75" customHeight="1" x14ac:dyDescent="0.15">
      <c r="A10" s="4" t="s">
        <v>96</v>
      </c>
      <c r="B10" s="19">
        <v>851281525.76999998</v>
      </c>
      <c r="D10" s="5">
        <f t="shared" si="0"/>
        <v>2391038.7488975651</v>
      </c>
      <c r="F10" s="4" t="s">
        <v>98</v>
      </c>
      <c r="G10" s="20">
        <v>18395</v>
      </c>
      <c r="I10" s="4" t="s">
        <v>42</v>
      </c>
      <c r="J10" s="5">
        <f t="shared" si="1"/>
        <v>230410.76</v>
      </c>
      <c r="K10" s="5">
        <f>SUMIFS('Spotlight Data Sheet Summary'!D:D,'Spotlight Data Sheet Summary'!A:A,2019,'Spotlight Data Sheet Summary'!C:C,I10)+SUMIFS('Spotlight Data Sheet Summary'!E:E,'Spotlight Data Sheet Summary'!A:A,2019,'Spotlight Data Sheet Summary'!C:C,I10)</f>
        <v>230412</v>
      </c>
      <c r="L10" s="5">
        <f t="shared" si="2"/>
        <v>-1.2399999999906868</v>
      </c>
    </row>
    <row r="11" spans="1:12" ht="15.75" customHeight="1" x14ac:dyDescent="0.15">
      <c r="A11" s="4"/>
      <c r="B11" s="19"/>
      <c r="D11" s="5">
        <f t="shared" si="0"/>
        <v>0</v>
      </c>
      <c r="I11" s="4" t="s">
        <v>43</v>
      </c>
      <c r="J11" s="5">
        <f t="shared" si="1"/>
        <v>59906.936650282274</v>
      </c>
      <c r="K11" s="5">
        <f>SUMIFS('Spotlight Data Sheet Summary'!D:D,'Spotlight Data Sheet Summary'!A:A,2019,'Spotlight Data Sheet Summary'!C:C,I11)+SUMIFS('Spotlight Data Sheet Summary'!E:E,'Spotlight Data Sheet Summary'!A:A,2019,'Spotlight Data Sheet Summary'!C:C,I11)</f>
        <v>59908</v>
      </c>
      <c r="L11" s="5">
        <f t="shared" si="2"/>
        <v>-1.0633497177259414</v>
      </c>
    </row>
    <row r="12" spans="1:12" ht="15.75" customHeight="1" x14ac:dyDescent="0.15">
      <c r="A12" s="4" t="s">
        <v>99</v>
      </c>
      <c r="B12" s="19">
        <v>851281525.76999998</v>
      </c>
      <c r="D12" s="5">
        <f t="shared" si="0"/>
        <v>2391038.7488975651</v>
      </c>
      <c r="F12" s="4" t="s">
        <v>99</v>
      </c>
      <c r="G12" s="20">
        <v>18395</v>
      </c>
      <c r="I12" s="4" t="s">
        <v>38</v>
      </c>
      <c r="J12" s="5">
        <f t="shared" si="1"/>
        <v>16652.439999999999</v>
      </c>
      <c r="K12" s="5">
        <f>SUMIFS('Spotlight Data Sheet Summary'!D:D,'Spotlight Data Sheet Summary'!A:A,2019,'Spotlight Data Sheet Summary'!C:C,I12)+SUMIFS('Spotlight Data Sheet Summary'!E:E,'Spotlight Data Sheet Summary'!A:A,2019,'Spotlight Data Sheet Summary'!C:C,I12)</f>
        <v>16652</v>
      </c>
      <c r="L12" s="5">
        <f t="shared" si="2"/>
        <v>0.43999999999869033</v>
      </c>
    </row>
    <row r="13" spans="1:12" ht="15.75" customHeight="1" x14ac:dyDescent="0.15">
      <c r="A13" s="4"/>
      <c r="D13" s="5">
        <f t="shared" si="0"/>
        <v>0</v>
      </c>
      <c r="I13" s="4" t="s">
        <v>34</v>
      </c>
      <c r="J13" s="5">
        <f t="shared" si="1"/>
        <v>40524.461169002614</v>
      </c>
      <c r="K13" s="5">
        <f>SUMIFS('Spotlight Data Sheet Summary'!D:D,'Spotlight Data Sheet Summary'!A:A,2019,'Spotlight Data Sheet Summary'!C:C,I13)+SUMIFS('Spotlight Data Sheet Summary'!E:E,'Spotlight Data Sheet Summary'!A:A,2019,'Spotlight Data Sheet Summary'!C:C,I13)</f>
        <v>40524</v>
      </c>
      <c r="L13" s="5">
        <f t="shared" si="2"/>
        <v>0.46116900261404226</v>
      </c>
    </row>
    <row r="14" spans="1:12" ht="15.75" customHeight="1" x14ac:dyDescent="0.15">
      <c r="A14" s="4" t="s">
        <v>100</v>
      </c>
      <c r="B14" s="19"/>
      <c r="D14" s="5">
        <f t="shared" si="0"/>
        <v>0</v>
      </c>
      <c r="F14" s="4" t="s">
        <v>101</v>
      </c>
      <c r="G14" s="20">
        <v>18395</v>
      </c>
      <c r="I14" s="4" t="s">
        <v>39</v>
      </c>
      <c r="J14" s="5">
        <f t="shared" si="1"/>
        <v>1011.19</v>
      </c>
      <c r="K14" s="5">
        <f>SUMIFS('Spotlight Data Sheet Summary'!D:D,'Spotlight Data Sheet Summary'!A:A,2019,'Spotlight Data Sheet Summary'!C:C,I14)+SUMIFS('Spotlight Data Sheet Summary'!E:E,'Spotlight Data Sheet Summary'!A:A,2019,'Spotlight Data Sheet Summary'!C:C,I14)</f>
        <v>1010</v>
      </c>
      <c r="L14" s="5">
        <f t="shared" si="2"/>
        <v>1.1900000000000546</v>
      </c>
    </row>
    <row r="15" spans="1:12" ht="15.75" customHeight="1" x14ac:dyDescent="0.15">
      <c r="A15" s="4" t="s">
        <v>33</v>
      </c>
      <c r="B15" s="19">
        <v>132750624</v>
      </c>
      <c r="D15" s="5">
        <f t="shared" si="0"/>
        <v>372863.59014689777</v>
      </c>
      <c r="I15" s="4" t="s">
        <v>40</v>
      </c>
      <c r="J15" s="5">
        <f t="shared" si="1"/>
        <v>0</v>
      </c>
      <c r="K15" s="5">
        <f>SUMIFS('Spotlight Data Sheet Summary'!D:D,'Spotlight Data Sheet Summary'!A:A,2019,'Spotlight Data Sheet Summary'!C:C,I15)+SUMIFS('Spotlight Data Sheet Summary'!E:E,'Spotlight Data Sheet Summary'!A:A,2019,'Spotlight Data Sheet Summary'!C:C,I15)</f>
        <v>0</v>
      </c>
      <c r="L15" s="5">
        <f t="shared" si="2"/>
        <v>0</v>
      </c>
    </row>
    <row r="16" spans="1:12" ht="15.75" customHeight="1" x14ac:dyDescent="0.15">
      <c r="A16" s="4" t="s">
        <v>43</v>
      </c>
      <c r="B16" s="19">
        <v>577629</v>
      </c>
      <c r="D16" s="5">
        <f t="shared" si="0"/>
        <v>1622.4166502822798</v>
      </c>
      <c r="F16" s="4" t="s">
        <v>102</v>
      </c>
      <c r="I16" s="4" t="s">
        <v>53</v>
      </c>
      <c r="J16" s="5">
        <f t="shared" si="1"/>
        <v>22326.549575597564</v>
      </c>
      <c r="K16" s="5">
        <f>SUMIFS('Spotlight Data Sheet Summary'!D:D,'Spotlight Data Sheet Summary'!A:A,2019,'Spotlight Data Sheet Summary'!C:C,I16)+SUMIFS('Spotlight Data Sheet Summary'!E:E,'Spotlight Data Sheet Summary'!A:A,2019,'Spotlight Data Sheet Summary'!C:C,I16)</f>
        <v>22327</v>
      </c>
      <c r="L16" s="5">
        <f t="shared" si="2"/>
        <v>-0.45042440243560122</v>
      </c>
    </row>
    <row r="17" spans="1:12" ht="15.75" customHeight="1" x14ac:dyDescent="0.15">
      <c r="A17" s="4" t="s">
        <v>34</v>
      </c>
      <c r="B17" s="19">
        <v>14427923.91</v>
      </c>
      <c r="D17" s="5">
        <f t="shared" si="0"/>
        <v>40524.461169002614</v>
      </c>
      <c r="F17" s="4" t="s">
        <v>103</v>
      </c>
      <c r="G17" s="20">
        <v>2617.11</v>
      </c>
      <c r="I17" s="4" t="s">
        <v>35</v>
      </c>
      <c r="J17" s="5">
        <f t="shared" si="1"/>
        <v>69666.348032469177</v>
      </c>
      <c r="K17" s="5">
        <f>SUMIFS('Spotlight Data Sheet Summary'!D:D,'Spotlight Data Sheet Summary'!A:A,2019,'Spotlight Data Sheet Summary'!C:C,I17)+SUMIFS('Spotlight Data Sheet Summary'!E:E,'Spotlight Data Sheet Summary'!A:A,2019,'Spotlight Data Sheet Summary'!C:C,I17)</f>
        <v>69666</v>
      </c>
      <c r="L17" s="5">
        <f t="shared" si="2"/>
        <v>0.34803246917726938</v>
      </c>
    </row>
    <row r="18" spans="1:12" ht="15.75" customHeight="1" x14ac:dyDescent="0.15">
      <c r="A18" s="4" t="s">
        <v>53</v>
      </c>
      <c r="B18" s="19">
        <v>4554111.3099999996</v>
      </c>
      <c r="D18" s="5">
        <f t="shared" si="0"/>
        <v>12791.369575597562</v>
      </c>
      <c r="F18" s="4" t="s">
        <v>37</v>
      </c>
      <c r="G18" s="20">
        <v>-242250</v>
      </c>
      <c r="I18" s="4" t="s">
        <v>55</v>
      </c>
      <c r="J18" s="5">
        <f t="shared" si="1"/>
        <v>47150.846864309191</v>
      </c>
      <c r="K18" s="5">
        <f>SUMIFS('Spotlight Data Sheet Summary'!D:D,'Spotlight Data Sheet Summary'!A:A,2019,'Spotlight Data Sheet Summary'!C:C,I18)+SUMIFS('Spotlight Data Sheet Summary'!E:E,'Spotlight Data Sheet Summary'!A:A,2019,'Spotlight Data Sheet Summary'!C:C,I18)</f>
        <v>47149</v>
      </c>
      <c r="L18" s="5">
        <f t="shared" si="2"/>
        <v>1.8468643091910053</v>
      </c>
    </row>
    <row r="19" spans="1:12" ht="15.75" customHeight="1" x14ac:dyDescent="0.15">
      <c r="A19" s="4" t="s">
        <v>35</v>
      </c>
      <c r="B19" s="19">
        <v>24803309.890000001</v>
      </c>
      <c r="D19" s="5">
        <f t="shared" si="0"/>
        <v>69666.348032469177</v>
      </c>
      <c r="F19" s="4" t="s">
        <v>42</v>
      </c>
      <c r="G19" s="20">
        <v>-230410.76</v>
      </c>
      <c r="I19" s="4" t="s">
        <v>47</v>
      </c>
      <c r="J19" s="5">
        <f t="shared" si="1"/>
        <v>4251.8594390922117</v>
      </c>
      <c r="K19" s="5">
        <f>SUMIFS('Spotlight Data Sheet Summary'!D:D,'Spotlight Data Sheet Summary'!A:A,2019,'Spotlight Data Sheet Summary'!C:C,I19)+SUMIFS('Spotlight Data Sheet Summary'!E:E,'Spotlight Data Sheet Summary'!A:A,2019,'Spotlight Data Sheet Summary'!C:C,I19)</f>
        <v>4254</v>
      </c>
      <c r="L19" s="5">
        <f t="shared" si="2"/>
        <v>-2.1405609077883128</v>
      </c>
    </row>
    <row r="20" spans="1:12" ht="15.75" customHeight="1" x14ac:dyDescent="0.15">
      <c r="A20" s="4" t="s">
        <v>55</v>
      </c>
      <c r="B20" s="19">
        <v>900000</v>
      </c>
      <c r="D20" s="5">
        <f t="shared" si="0"/>
        <v>2527.8768643091876</v>
      </c>
      <c r="F20" s="4" t="s">
        <v>43</v>
      </c>
      <c r="G20" s="20">
        <v>-58284.52</v>
      </c>
      <c r="I20" s="4" t="s">
        <v>28</v>
      </c>
      <c r="J20" s="5">
        <f t="shared" si="1"/>
        <v>9195.0116563210977</v>
      </c>
      <c r="K20" s="5">
        <f>SUMIFS('Spotlight Data Sheet Summary'!D:D,'Spotlight Data Sheet Summary'!A:A,2019,'Spotlight Data Sheet Summary'!C:C,I20)+SUMIFS('Spotlight Data Sheet Summary'!E:E,'Spotlight Data Sheet Summary'!A:A,2019,'Spotlight Data Sheet Summary'!C:C,I20)</f>
        <v>9196</v>
      </c>
      <c r="L20" s="5">
        <f t="shared" si="2"/>
        <v>-0.98834367890231078</v>
      </c>
    </row>
    <row r="21" spans="1:12" ht="15.75" customHeight="1" x14ac:dyDescent="0.15">
      <c r="A21" s="4" t="s">
        <v>47</v>
      </c>
      <c r="B21" s="19">
        <v>782194.15</v>
      </c>
      <c r="D21" s="5">
        <f t="shared" si="0"/>
        <v>2196.9894390922113</v>
      </c>
      <c r="F21" s="4" t="s">
        <v>38</v>
      </c>
      <c r="G21" s="20">
        <v>-16652.439999999999</v>
      </c>
      <c r="I21" s="4" t="s">
        <v>22</v>
      </c>
      <c r="J21" s="5">
        <f t="shared" si="1"/>
        <v>0</v>
      </c>
      <c r="K21" s="5">
        <f>SUMIFS('Spotlight Data Sheet Summary'!D:D,'Spotlight Data Sheet Summary'!A:A,2019,'Spotlight Data Sheet Summary'!C:C,I21)+SUMIFS('Spotlight Data Sheet Summary'!E:E,'Spotlight Data Sheet Summary'!A:A,2019,'Spotlight Data Sheet Summary'!C:C,I21)</f>
        <v>0</v>
      </c>
      <c r="L21" s="5">
        <f t="shared" si="2"/>
        <v>0</v>
      </c>
    </row>
    <row r="22" spans="1:12" ht="15.75" customHeight="1" x14ac:dyDescent="0.15">
      <c r="A22" s="4" t="s">
        <v>28</v>
      </c>
      <c r="B22" s="19">
        <v>3273700</v>
      </c>
      <c r="D22" s="5">
        <f t="shared" si="0"/>
        <v>9195.0116563210977</v>
      </c>
      <c r="F22" s="4" t="s">
        <v>39</v>
      </c>
      <c r="G22" s="20">
        <v>-1011.19</v>
      </c>
      <c r="I22" s="4" t="s">
        <v>24</v>
      </c>
      <c r="J22" s="5">
        <f t="shared" si="1"/>
        <v>412624.83779456792</v>
      </c>
      <c r="K22" s="5">
        <f>SUMIFS('Spotlight Data Sheet Summary'!D:D,'Spotlight Data Sheet Summary'!A:A,2019,'Spotlight Data Sheet Summary'!C:C,I22)+SUMIFS('Spotlight Data Sheet Summary'!E:E,'Spotlight Data Sheet Summary'!A:A,2019,'Spotlight Data Sheet Summary'!C:C,I22)</f>
        <v>412625</v>
      </c>
      <c r="L22" s="5">
        <f t="shared" si="2"/>
        <v>-0.16220543207600713</v>
      </c>
    </row>
    <row r="23" spans="1:12" ht="15.75" customHeight="1" x14ac:dyDescent="0.15">
      <c r="A23" s="4" t="s">
        <v>24</v>
      </c>
      <c r="B23" s="19">
        <v>146906821</v>
      </c>
      <c r="D23" s="5">
        <f t="shared" si="0"/>
        <v>412624.83779456792</v>
      </c>
      <c r="F23" s="4" t="s">
        <v>53</v>
      </c>
      <c r="G23" s="20">
        <v>-9535.18</v>
      </c>
      <c r="I23" s="4" t="s">
        <v>25</v>
      </c>
      <c r="J23" s="5">
        <f t="shared" si="1"/>
        <v>192112.37536162685</v>
      </c>
      <c r="K23" s="5">
        <f>SUMIFS('Spotlight Data Sheet Summary'!D:D,'Spotlight Data Sheet Summary'!A:A,2019,'Spotlight Data Sheet Summary'!C:C,I23)+SUMIFS('Spotlight Data Sheet Summary'!E:E,'Spotlight Data Sheet Summary'!A:A,2019,'Spotlight Data Sheet Summary'!C:C,I23)</f>
        <v>192111</v>
      </c>
      <c r="L23" s="5">
        <f t="shared" si="2"/>
        <v>1.3753616268513724</v>
      </c>
    </row>
    <row r="24" spans="1:12" ht="15.75" customHeight="1" x14ac:dyDescent="0.15">
      <c r="A24" s="4" t="s">
        <v>25</v>
      </c>
      <c r="B24" s="19">
        <v>68397769</v>
      </c>
      <c r="D24" s="5">
        <f t="shared" si="0"/>
        <v>192112.37536162685</v>
      </c>
      <c r="F24" s="4" t="s">
        <v>55</v>
      </c>
      <c r="G24" s="20">
        <v>-44622.97</v>
      </c>
      <c r="I24" s="4" t="s">
        <v>68</v>
      </c>
      <c r="J24" s="5">
        <f t="shared" si="1"/>
        <v>0</v>
      </c>
      <c r="K24" s="5">
        <f>SUMIFS('Spotlight Data Sheet Summary'!D:D,'Spotlight Data Sheet Summary'!A:A,2019,'Spotlight Data Sheet Summary'!C:C,I24)+SUMIFS('Spotlight Data Sheet Summary'!E:E,'Spotlight Data Sheet Summary'!A:A,2019,'Spotlight Data Sheet Summary'!C:C,I24)</f>
        <v>0</v>
      </c>
      <c r="L24" s="5">
        <f t="shared" si="2"/>
        <v>0</v>
      </c>
    </row>
    <row r="25" spans="1:12" ht="15.75" customHeight="1" x14ac:dyDescent="0.15">
      <c r="A25" s="4" t="s">
        <v>29</v>
      </c>
      <c r="B25" s="19">
        <v>10302596.5</v>
      </c>
      <c r="D25" s="5">
        <f t="shared" si="0"/>
        <v>28937.439260736457</v>
      </c>
      <c r="F25" s="4" t="s">
        <v>47</v>
      </c>
      <c r="G25" s="20">
        <v>-2054.87</v>
      </c>
      <c r="I25" s="4" t="s">
        <v>29</v>
      </c>
      <c r="J25" s="5">
        <f t="shared" si="1"/>
        <v>28937.439260736457</v>
      </c>
      <c r="K25" s="5">
        <f>SUMIFS('Spotlight Data Sheet Summary'!D:D,'Spotlight Data Sheet Summary'!A:A,2019,'Spotlight Data Sheet Summary'!C:C,I25)+SUMIFS('Spotlight Data Sheet Summary'!E:E,'Spotlight Data Sheet Summary'!A:A,2019,'Spotlight Data Sheet Summary'!C:C,I25)</f>
        <v>28938</v>
      </c>
      <c r="L25" s="5">
        <f t="shared" si="2"/>
        <v>-0.5607392635429278</v>
      </c>
    </row>
    <row r="26" spans="1:12" ht="15.75" customHeight="1" x14ac:dyDescent="0.15">
      <c r="A26" s="4" t="s">
        <v>26</v>
      </c>
      <c r="B26" s="19">
        <v>12582105</v>
      </c>
      <c r="D26" s="5">
        <f t="shared" si="0"/>
        <v>35340.013482009948</v>
      </c>
      <c r="F26" s="4" t="s">
        <v>26</v>
      </c>
      <c r="G26" s="20">
        <v>-198</v>
      </c>
      <c r="I26" s="4" t="s">
        <v>69</v>
      </c>
      <c r="J26" s="5">
        <f t="shared" si="1"/>
        <v>0</v>
      </c>
      <c r="K26" s="5">
        <f>SUMIFS('Spotlight Data Sheet Summary'!D:D,'Spotlight Data Sheet Summary'!A:A,2019,'Spotlight Data Sheet Summary'!C:C,I26)+SUMIFS('Spotlight Data Sheet Summary'!E:E,'Spotlight Data Sheet Summary'!A:A,2019,'Spotlight Data Sheet Summary'!C:C,I26)</f>
        <v>0</v>
      </c>
      <c r="L26" s="5">
        <f t="shared" si="2"/>
        <v>0</v>
      </c>
    </row>
    <row r="27" spans="1:12" ht="15.75" customHeight="1" x14ac:dyDescent="0.15">
      <c r="A27" s="4" t="s">
        <v>56</v>
      </c>
      <c r="B27" s="19">
        <v>3042269</v>
      </c>
      <c r="D27" s="5">
        <f t="shared" si="0"/>
        <v>8544.9793556722761</v>
      </c>
      <c r="F27" s="4" t="s">
        <v>56</v>
      </c>
      <c r="G27" s="20">
        <v>-4362</v>
      </c>
      <c r="I27" s="4" t="s">
        <v>26</v>
      </c>
      <c r="J27" s="5">
        <f t="shared" si="1"/>
        <v>35538.013482009948</v>
      </c>
      <c r="K27" s="5">
        <f>SUMIFS('Spotlight Data Sheet Summary'!D:D,'Spotlight Data Sheet Summary'!A:A,2019,'Spotlight Data Sheet Summary'!C:C,I27)+SUMIFS('Spotlight Data Sheet Summary'!E:E,'Spotlight Data Sheet Summary'!A:A,2019,'Spotlight Data Sheet Summary'!C:C,I27)</f>
        <v>35539</v>
      </c>
      <c r="L27" s="5">
        <f t="shared" si="2"/>
        <v>-0.9865179900516523</v>
      </c>
    </row>
    <row r="28" spans="1:12" ht="15.75" customHeight="1" x14ac:dyDescent="0.15">
      <c r="A28" s="4" t="s">
        <v>61</v>
      </c>
      <c r="B28" s="19">
        <v>14978583.33</v>
      </c>
      <c r="D28" s="5">
        <f t="shared" si="0"/>
        <v>42071.126955593631</v>
      </c>
      <c r="F28" s="4" t="s">
        <v>61</v>
      </c>
      <c r="G28" s="20">
        <v>-9.9499999999999993</v>
      </c>
      <c r="I28" s="4" t="s">
        <v>56</v>
      </c>
      <c r="J28" s="5">
        <f t="shared" si="1"/>
        <v>12906.979355672276</v>
      </c>
      <c r="K28" s="5">
        <f>SUMIFS('Spotlight Data Sheet Summary'!D:D,'Spotlight Data Sheet Summary'!A:A,2019,'Spotlight Data Sheet Summary'!C:C,I28)+SUMIFS('Spotlight Data Sheet Summary'!E:E,'Spotlight Data Sheet Summary'!A:A,2019,'Spotlight Data Sheet Summary'!C:C,I28)</f>
        <v>12907</v>
      </c>
      <c r="L28" s="5">
        <f t="shared" si="2"/>
        <v>-2.0644327723857714E-2</v>
      </c>
    </row>
    <row r="29" spans="1:12" ht="15.75" customHeight="1" x14ac:dyDescent="0.15">
      <c r="A29" s="4" t="s">
        <v>62</v>
      </c>
      <c r="B29" s="19">
        <v>939526.39</v>
      </c>
      <c r="D29" s="5">
        <f t="shared" si="0"/>
        <v>2638.8966940988121</v>
      </c>
      <c r="F29" s="4" t="s">
        <v>48</v>
      </c>
      <c r="G29" s="20">
        <v>-6004.14</v>
      </c>
      <c r="I29" s="4" t="s">
        <v>61</v>
      </c>
      <c r="J29" s="5">
        <f t="shared" si="1"/>
        <v>42081.076955593628</v>
      </c>
      <c r="K29" s="5">
        <f>SUMIFS('Spotlight Data Sheet Summary'!D:D,'Spotlight Data Sheet Summary'!A:A,2019,'Spotlight Data Sheet Summary'!C:C,I29)+SUMIFS('Spotlight Data Sheet Summary'!E:E,'Spotlight Data Sheet Summary'!A:A,2019,'Spotlight Data Sheet Summary'!C:C,I29)</f>
        <v>42082</v>
      </c>
      <c r="L29" s="5">
        <f t="shared" si="2"/>
        <v>-0.9230444063723553</v>
      </c>
    </row>
    <row r="30" spans="1:12" ht="15.75" customHeight="1" x14ac:dyDescent="0.15">
      <c r="A30" s="4" t="s">
        <v>48</v>
      </c>
      <c r="B30" s="19">
        <v>3263400</v>
      </c>
      <c r="D30" s="5">
        <f t="shared" si="0"/>
        <v>9166.0815099851152</v>
      </c>
      <c r="F30" s="4" t="s">
        <v>44</v>
      </c>
      <c r="G30" s="20">
        <v>-6723.45</v>
      </c>
      <c r="I30" s="4" t="s">
        <v>62</v>
      </c>
      <c r="J30" s="5">
        <f t="shared" si="1"/>
        <v>2638.8966940988121</v>
      </c>
      <c r="K30" s="5">
        <f>SUMIFS('Spotlight Data Sheet Summary'!D:D,'Spotlight Data Sheet Summary'!A:A,2019,'Spotlight Data Sheet Summary'!C:C,I30)+SUMIFS('Spotlight Data Sheet Summary'!E:E,'Spotlight Data Sheet Summary'!A:A,2019,'Spotlight Data Sheet Summary'!C:C,I30)</f>
        <v>2638</v>
      </c>
      <c r="L30" s="5">
        <f t="shared" si="2"/>
        <v>0.89669409881207685</v>
      </c>
    </row>
    <row r="31" spans="1:12" ht="15.75" customHeight="1" x14ac:dyDescent="0.15">
      <c r="A31" s="4" t="s">
        <v>30</v>
      </c>
      <c r="B31" s="19">
        <v>8906450</v>
      </c>
      <c r="D31" s="5">
        <f t="shared" si="0"/>
        <v>25016.009886807293</v>
      </c>
      <c r="F31" s="4" t="s">
        <v>51</v>
      </c>
      <c r="G31" s="20">
        <v>-84037.84</v>
      </c>
      <c r="I31" s="4" t="s">
        <v>63</v>
      </c>
      <c r="J31" s="5">
        <f t="shared" si="1"/>
        <v>0</v>
      </c>
      <c r="K31" s="5">
        <f>SUMIFS('Spotlight Data Sheet Summary'!D:D,'Spotlight Data Sheet Summary'!A:A,2019,'Spotlight Data Sheet Summary'!C:C,I31)+SUMIFS('Spotlight Data Sheet Summary'!E:E,'Spotlight Data Sheet Summary'!A:A,2019,'Spotlight Data Sheet Summary'!C:C,I31)</f>
        <v>0</v>
      </c>
      <c r="L31" s="5">
        <f t="shared" si="2"/>
        <v>0</v>
      </c>
    </row>
    <row r="32" spans="1:12" ht="15.75" customHeight="1" x14ac:dyDescent="0.15">
      <c r="A32" s="4" t="s">
        <v>51</v>
      </c>
      <c r="B32" s="19">
        <v>45000</v>
      </c>
      <c r="D32" s="5">
        <f t="shared" si="0"/>
        <v>126.39384321545938</v>
      </c>
      <c r="F32" s="4" t="s">
        <v>58</v>
      </c>
      <c r="G32" s="20">
        <v>-3590.39</v>
      </c>
      <c r="I32" s="4" t="s">
        <v>48</v>
      </c>
      <c r="J32" s="5">
        <f t="shared" si="1"/>
        <v>15170.221509985116</v>
      </c>
      <c r="K32" s="5">
        <f>SUMIFS('Spotlight Data Sheet Summary'!D:D,'Spotlight Data Sheet Summary'!A:A,2019,'Spotlight Data Sheet Summary'!C:C,I32)+SUMIFS('Spotlight Data Sheet Summary'!E:E,'Spotlight Data Sheet Summary'!A:A,2019,'Spotlight Data Sheet Summary'!C:C,I32)</f>
        <v>15168</v>
      </c>
      <c r="L32" s="5">
        <f t="shared" si="2"/>
        <v>2.2215099851164268</v>
      </c>
    </row>
    <row r="33" spans="1:12" ht="15.75" customHeight="1" x14ac:dyDescent="0.15">
      <c r="A33" s="4" t="s">
        <v>58</v>
      </c>
      <c r="B33" s="19">
        <v>9656089.7599999998</v>
      </c>
      <c r="D33" s="5">
        <f t="shared" si="0"/>
        <v>27121.56211555206</v>
      </c>
      <c r="F33" s="4" t="s">
        <v>46</v>
      </c>
      <c r="G33" s="20">
        <v>-7362.62</v>
      </c>
      <c r="I33" s="4" t="s">
        <v>30</v>
      </c>
      <c r="J33" s="5">
        <f t="shared" si="1"/>
        <v>25016.009886807293</v>
      </c>
      <c r="K33" s="5">
        <f>SUMIFS('Spotlight Data Sheet Summary'!D:D,'Spotlight Data Sheet Summary'!A:A,2019,'Spotlight Data Sheet Summary'!C:C,I33)+SUMIFS('Spotlight Data Sheet Summary'!E:E,'Spotlight Data Sheet Summary'!A:A,2019,'Spotlight Data Sheet Summary'!C:C,I33)</f>
        <v>25015</v>
      </c>
      <c r="L33" s="5">
        <f t="shared" si="2"/>
        <v>1.0098868072927871</v>
      </c>
    </row>
    <row r="34" spans="1:12" ht="15.75" customHeight="1" x14ac:dyDescent="0.15">
      <c r="A34" s="4" t="s">
        <v>46</v>
      </c>
      <c r="B34" s="19">
        <v>26550862</v>
      </c>
      <c r="D34" s="5">
        <f t="shared" si="0"/>
        <v>74574.788641406631</v>
      </c>
      <c r="F34" s="4" t="s">
        <v>106</v>
      </c>
      <c r="G34" s="20">
        <v>-2391006.7799999998</v>
      </c>
      <c r="I34" s="4" t="s">
        <v>44</v>
      </c>
      <c r="J34" s="5">
        <f t="shared" si="1"/>
        <v>6723.45</v>
      </c>
      <c r="K34" s="5">
        <f>SUMIFS('Spotlight Data Sheet Summary'!D:D,'Spotlight Data Sheet Summary'!A:A,2019,'Spotlight Data Sheet Summary'!C:C,I34)+SUMIFS('Spotlight Data Sheet Summary'!E:E,'Spotlight Data Sheet Summary'!A:A,2019,'Spotlight Data Sheet Summary'!C:C,I34)</f>
        <v>6723</v>
      </c>
      <c r="L34" s="5">
        <f t="shared" si="2"/>
        <v>0.4499999999998181</v>
      </c>
    </row>
    <row r="35" spans="1:12" ht="15.75" customHeight="1" x14ac:dyDescent="0.15">
      <c r="A35" s="4" t="s">
        <v>32</v>
      </c>
      <c r="B35" s="19">
        <v>52297805.5</v>
      </c>
      <c r="D35" s="5">
        <f t="shared" si="0"/>
        <v>146891.56953065755</v>
      </c>
      <c r="F35" s="4" t="s">
        <v>107</v>
      </c>
      <c r="G35" s="20">
        <v>-3105499.99</v>
      </c>
      <c r="I35" s="4" t="s">
        <v>51</v>
      </c>
      <c r="J35" s="5">
        <f t="shared" si="1"/>
        <v>84164.23384321545</v>
      </c>
      <c r="K35" s="5">
        <f>SUMIFS('Spotlight Data Sheet Summary'!D:D,'Spotlight Data Sheet Summary'!A:A,2019,'Spotlight Data Sheet Summary'!C:C,I35)+SUMIFS('Spotlight Data Sheet Summary'!E:E,'Spotlight Data Sheet Summary'!A:A,2019,'Spotlight Data Sheet Summary'!C:C,I35)</f>
        <v>84165</v>
      </c>
      <c r="L35" s="5">
        <f t="shared" si="2"/>
        <v>-0.76615678454982117</v>
      </c>
    </row>
    <row r="36" spans="1:12" ht="15.75" customHeight="1" x14ac:dyDescent="0.15">
      <c r="A36" s="4" t="s">
        <v>21</v>
      </c>
      <c r="B36" s="19">
        <v>298272500</v>
      </c>
      <c r="D36" s="5">
        <f t="shared" si="0"/>
        <v>837773.50223295798</v>
      </c>
      <c r="F36" s="4"/>
      <c r="G36" s="20"/>
      <c r="I36" s="4" t="s">
        <v>58</v>
      </c>
      <c r="J36" s="5">
        <f t="shared" si="1"/>
        <v>30711.95211555206</v>
      </c>
      <c r="K36" s="5">
        <f>SUMIFS('Spotlight Data Sheet Summary'!D:D,'Spotlight Data Sheet Summary'!A:A,2019,'Spotlight Data Sheet Summary'!C:C,I36)+SUMIFS('Spotlight Data Sheet Summary'!E:E,'Spotlight Data Sheet Summary'!A:A,2019,'Spotlight Data Sheet Summary'!C:C,I36)</f>
        <v>30713</v>
      </c>
      <c r="L36" s="5">
        <f t="shared" si="2"/>
        <v>-1.0478844479403051</v>
      </c>
    </row>
    <row r="37" spans="1:12" ht="15.75" customHeight="1" x14ac:dyDescent="0.15">
      <c r="A37" s="4" t="s">
        <v>115</v>
      </c>
      <c r="B37" s="19">
        <v>1047.28</v>
      </c>
      <c r="D37" s="5">
        <f t="shared" si="0"/>
        <v>2.9415498693930289</v>
      </c>
      <c r="F37" s="4" t="s">
        <v>116</v>
      </c>
      <c r="G37" s="12">
        <v>-3087104.99</v>
      </c>
      <c r="I37" s="4" t="s">
        <v>46</v>
      </c>
      <c r="J37" s="5">
        <f t="shared" si="1"/>
        <v>81937.408641406626</v>
      </c>
      <c r="K37" s="5">
        <f>SUMIFS('Spotlight Data Sheet Summary'!D:D,'Spotlight Data Sheet Summary'!A:A,2019,'Spotlight Data Sheet Summary'!C:C,I37)+SUMIFS('Spotlight Data Sheet Summary'!E:E,'Spotlight Data Sheet Summary'!A:A,2019,'Spotlight Data Sheet Summary'!C:C,I37)</f>
        <v>81936</v>
      </c>
      <c r="L37" s="5">
        <f t="shared" si="2"/>
        <v>1.4086414066259749</v>
      </c>
    </row>
    <row r="38" spans="1:12" ht="15.75" customHeight="1" x14ac:dyDescent="0.15">
      <c r="A38" s="4" t="s">
        <v>104</v>
      </c>
      <c r="B38" s="19">
        <v>838212317.01999998</v>
      </c>
      <c r="D38" s="5">
        <f t="shared" si="0"/>
        <v>2354330.5817487291</v>
      </c>
      <c r="F38" s="4"/>
      <c r="G38" s="20"/>
      <c r="I38" s="4" t="s">
        <v>32</v>
      </c>
      <c r="J38" s="5">
        <f t="shared" si="1"/>
        <v>146891.56953065755</v>
      </c>
      <c r="K38" s="5">
        <f>SUMIFS('Spotlight Data Sheet Summary'!D:D,'Spotlight Data Sheet Summary'!A:A,2019,'Spotlight Data Sheet Summary'!C:C,I38)+SUMIFS('Spotlight Data Sheet Summary'!E:E,'Spotlight Data Sheet Summary'!A:A,2019,'Spotlight Data Sheet Summary'!C:C,I38)</f>
        <v>146891</v>
      </c>
      <c r="L38" s="5">
        <f t="shared" si="2"/>
        <v>0.56953065755078569</v>
      </c>
    </row>
    <row r="39" spans="1:12" ht="15.75" customHeight="1" x14ac:dyDescent="0.15">
      <c r="I39" s="4" t="s">
        <v>21</v>
      </c>
      <c r="J39" s="5">
        <f t="shared" si="1"/>
        <v>837773.50223295798</v>
      </c>
      <c r="K39" s="5">
        <f>SUMIFS('Spotlight Data Sheet Summary'!D:D,'Spotlight Data Sheet Summary'!A:A,2019,'Spotlight Data Sheet Summary'!C:C,I39)+SUMIFS('Spotlight Data Sheet Summary'!E:E,'Spotlight Data Sheet Summary'!A:A,2019,'Spotlight Data Sheet Summary'!C:C,I39)</f>
        <v>837773</v>
      </c>
      <c r="L39" s="5">
        <f t="shared" si="2"/>
        <v>0.50223295798059553</v>
      </c>
    </row>
    <row r="40" spans="1:12" ht="15.75" customHeight="1" x14ac:dyDescent="0.15">
      <c r="A40" s="4" t="s">
        <v>105</v>
      </c>
      <c r="B40" s="19">
        <v>13069208.75</v>
      </c>
      <c r="F40" s="4" t="s">
        <v>112</v>
      </c>
      <c r="G40" s="12">
        <v>-3087104.99</v>
      </c>
      <c r="I40" s="4" t="s">
        <v>115</v>
      </c>
      <c r="J40" s="5">
        <f t="shared" si="1"/>
        <v>2.9415498693930289</v>
      </c>
      <c r="K40" s="25">
        <v>3</v>
      </c>
      <c r="L40" s="5">
        <f t="shared" si="2"/>
        <v>-5.8450130606971129E-2</v>
      </c>
    </row>
    <row r="41" spans="1:12" ht="15.75" customHeight="1" x14ac:dyDescent="0.15">
      <c r="F41" s="4"/>
      <c r="G41" s="20"/>
    </row>
    <row r="42" spans="1:12" ht="15.75" customHeight="1" x14ac:dyDescent="0.15">
      <c r="I42" s="3" t="s">
        <v>109</v>
      </c>
      <c r="J42" s="6">
        <f>SUM(J8:J40)</f>
        <v>3071440.9017487294</v>
      </c>
    </row>
    <row r="43" spans="1:12" ht="15.75" customHeight="1" x14ac:dyDescent="0.15">
      <c r="F43" s="4" t="s">
        <v>113</v>
      </c>
      <c r="G43" s="12">
        <v>-3087104.99</v>
      </c>
      <c r="I43" s="3" t="s">
        <v>110</v>
      </c>
      <c r="J43" s="5">
        <f>SUMIF('Spotlight Data Sheet Summary'!A:A,2019,'Spotlight Data Sheet Summary'!D:D)+SUMIF('Spotlight Data Sheet Summary'!A:A,2019,'Spotlight Data Sheet Summary'!E:E)</f>
        <v>3071438</v>
      </c>
    </row>
    <row r="44" spans="1:12" ht="15.75" customHeight="1" x14ac:dyDescent="0.15">
      <c r="F44" s="4"/>
      <c r="G44" s="20"/>
      <c r="I44" s="21" t="s">
        <v>111</v>
      </c>
      <c r="J44" s="22">
        <f>J42-J43</f>
        <v>2.901748729404062</v>
      </c>
      <c r="K44" s="23"/>
      <c r="L44" s="22">
        <f>SUM(L8:L40)</f>
        <v>2.9017487292722848</v>
      </c>
    </row>
    <row r="46" spans="1:12" ht="15.75" customHeight="1" x14ac:dyDescent="0.15">
      <c r="F46" s="4" t="s">
        <v>113</v>
      </c>
      <c r="G46" s="12">
        <v>-1452347.33</v>
      </c>
    </row>
  </sheetData>
  <mergeCells count="3">
    <mergeCell ref="I1:J1"/>
    <mergeCell ref="I2:J2"/>
    <mergeCell ref="I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L46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4.5" defaultRowHeight="15.75" customHeight="1" x14ac:dyDescent="0.15"/>
  <cols>
    <col min="1" max="1" width="38.5" customWidth="1"/>
    <col min="2" max="2" width="15.5" customWidth="1"/>
    <col min="5" max="5" width="5.1640625" customWidth="1"/>
    <col min="6" max="6" width="53.33203125" customWidth="1"/>
    <col min="7" max="7" width="13" customWidth="1"/>
    <col min="8" max="8" width="6.5" customWidth="1"/>
    <col min="9" max="9" width="41.5" customWidth="1"/>
  </cols>
  <sheetData>
    <row r="1" spans="1:12" ht="15.75" customHeight="1" x14ac:dyDescent="0.15">
      <c r="A1" s="14" t="s">
        <v>81</v>
      </c>
      <c r="B1" s="14"/>
      <c r="C1" s="15"/>
      <c r="D1" s="15"/>
      <c r="F1" s="14" t="s">
        <v>82</v>
      </c>
      <c r="G1" s="14"/>
      <c r="I1" s="29" t="s">
        <v>0</v>
      </c>
      <c r="J1" s="28"/>
      <c r="K1" s="16"/>
      <c r="L1" s="16"/>
    </row>
    <row r="2" spans="1:12" ht="15.75" customHeight="1" x14ac:dyDescent="0.15">
      <c r="A2" s="14" t="s">
        <v>83</v>
      </c>
      <c r="B2" s="14"/>
      <c r="C2" s="15"/>
      <c r="D2" s="15"/>
      <c r="F2" s="14" t="s">
        <v>84</v>
      </c>
      <c r="G2" s="14"/>
      <c r="I2" s="29" t="s">
        <v>85</v>
      </c>
      <c r="J2" s="28"/>
      <c r="K2" s="16"/>
      <c r="L2" s="16"/>
    </row>
    <row r="3" spans="1:12" ht="15.75" customHeight="1" x14ac:dyDescent="0.15">
      <c r="A3" s="14" t="s">
        <v>118</v>
      </c>
      <c r="B3" s="14"/>
      <c r="C3" s="15"/>
      <c r="D3" s="15"/>
      <c r="F3" s="14" t="s">
        <v>118</v>
      </c>
      <c r="G3" s="14"/>
      <c r="I3" s="29" t="s">
        <v>118</v>
      </c>
      <c r="J3" s="28"/>
      <c r="K3" s="16"/>
      <c r="L3" s="16"/>
    </row>
    <row r="4" spans="1:12" ht="15.75" customHeight="1" x14ac:dyDescent="0.15">
      <c r="A4" s="15"/>
      <c r="B4" s="15"/>
      <c r="C4" s="15"/>
      <c r="D4" s="15"/>
      <c r="F4" s="14"/>
      <c r="G4" s="15"/>
      <c r="I4" s="15"/>
      <c r="J4" s="15"/>
      <c r="K4" s="16"/>
      <c r="L4" s="16"/>
    </row>
    <row r="5" spans="1:12" ht="15.75" customHeight="1" x14ac:dyDescent="0.15">
      <c r="A5" s="15"/>
      <c r="B5" s="17">
        <v>43889</v>
      </c>
      <c r="C5" s="18" t="s">
        <v>87</v>
      </c>
      <c r="D5" s="18" t="s">
        <v>88</v>
      </c>
      <c r="F5" s="15"/>
      <c r="G5" s="17">
        <v>43889</v>
      </c>
      <c r="I5" s="15"/>
      <c r="J5" s="11" t="s">
        <v>89</v>
      </c>
      <c r="K5" s="11" t="s">
        <v>90</v>
      </c>
      <c r="L5" s="11" t="s">
        <v>91</v>
      </c>
    </row>
    <row r="6" spans="1:12" ht="15.75" customHeight="1" x14ac:dyDescent="0.15">
      <c r="C6" s="4">
        <v>356</v>
      </c>
      <c r="G6" s="26"/>
    </row>
    <row r="7" spans="1:12" ht="15.75" customHeight="1" x14ac:dyDescent="0.15">
      <c r="A7" s="4" t="s">
        <v>92</v>
      </c>
      <c r="F7" s="4" t="s">
        <v>93</v>
      </c>
    </row>
    <row r="8" spans="1:12" ht="15.75" customHeight="1" x14ac:dyDescent="0.15">
      <c r="A8" s="4" t="s">
        <v>103</v>
      </c>
      <c r="B8" s="19">
        <v>7.24</v>
      </c>
      <c r="D8" s="5">
        <f t="shared" ref="D8:D34" si="0">IFERROR(B8/$C$6,0)</f>
        <v>2.0337078651685395E-2</v>
      </c>
      <c r="F8" s="4" t="s">
        <v>97</v>
      </c>
      <c r="G8" s="20">
        <v>1520</v>
      </c>
      <c r="I8" s="4" t="s">
        <v>37</v>
      </c>
      <c r="J8" s="5">
        <f t="shared" ref="J8:J40" si="1">SUMIF(A:A,I8,D:D)-SUMIF(F:F,I8,G:G)</f>
        <v>37200</v>
      </c>
      <c r="K8" s="5">
        <f>SUMIFS('Spotlight Data Sheet Summary'!D:D,'Spotlight Data Sheet Summary'!A:A,2020,'Spotlight Data Sheet Summary'!C:C,I8)+SUMIFS('Spotlight Data Sheet Summary'!E:E,'Spotlight Data Sheet Summary'!A:A,2020,'Spotlight Data Sheet Summary'!C:C,I8)</f>
        <v>37200</v>
      </c>
      <c r="L8" s="5">
        <f t="shared" ref="L8:L40" si="2">J8-K8</f>
        <v>0</v>
      </c>
    </row>
    <row r="9" spans="1:12" ht="15.75" customHeight="1" x14ac:dyDescent="0.15">
      <c r="A9" s="4" t="s">
        <v>94</v>
      </c>
      <c r="B9" s="19">
        <v>71200000</v>
      </c>
      <c r="D9" s="5">
        <f t="shared" si="0"/>
        <v>200000</v>
      </c>
      <c r="F9" s="4" t="s">
        <v>98</v>
      </c>
      <c r="G9" s="20">
        <v>1520</v>
      </c>
      <c r="I9" s="4" t="s">
        <v>33</v>
      </c>
      <c r="J9" s="5">
        <f t="shared" si="1"/>
        <v>72806.351123595508</v>
      </c>
      <c r="K9" s="5">
        <f>SUMIFS('Spotlight Data Sheet Summary'!D:D,'Spotlight Data Sheet Summary'!A:A,2020,'Spotlight Data Sheet Summary'!C:C,I9)+SUMIFS('Spotlight Data Sheet Summary'!E:E,'Spotlight Data Sheet Summary'!A:A,2020,'Spotlight Data Sheet Summary'!C:C,I9)</f>
        <v>72806</v>
      </c>
      <c r="L9" s="5">
        <f t="shared" si="2"/>
        <v>0.35112359550839756</v>
      </c>
    </row>
    <row r="10" spans="1:12" ht="15.75" customHeight="1" x14ac:dyDescent="0.15">
      <c r="A10" s="4" t="s">
        <v>96</v>
      </c>
      <c r="B10" s="19">
        <v>71200007.239999995</v>
      </c>
      <c r="D10" s="5">
        <f t="shared" si="0"/>
        <v>200000.02033707863</v>
      </c>
      <c r="G10" s="20"/>
      <c r="I10" s="4" t="s">
        <v>42</v>
      </c>
      <c r="J10" s="5">
        <f t="shared" si="1"/>
        <v>25406.7</v>
      </c>
      <c r="K10" s="5">
        <f>SUMIFS('Spotlight Data Sheet Summary'!D:D,'Spotlight Data Sheet Summary'!A:A,2020,'Spotlight Data Sheet Summary'!C:C,I10)+SUMIFS('Spotlight Data Sheet Summary'!E:E,'Spotlight Data Sheet Summary'!A:A,2020,'Spotlight Data Sheet Summary'!C:C,I10)</f>
        <v>25406</v>
      </c>
      <c r="L10" s="5">
        <f t="shared" si="2"/>
        <v>0.7000000000007276</v>
      </c>
    </row>
    <row r="11" spans="1:12" ht="15.75" customHeight="1" x14ac:dyDescent="0.15">
      <c r="B11" s="19"/>
      <c r="D11" s="5">
        <f t="shared" si="0"/>
        <v>0</v>
      </c>
      <c r="F11" s="4" t="s">
        <v>99</v>
      </c>
      <c r="G11" s="12">
        <v>1520</v>
      </c>
      <c r="I11" s="4" t="s">
        <v>43</v>
      </c>
      <c r="J11" s="5">
        <f t="shared" si="1"/>
        <v>250</v>
      </c>
      <c r="K11" s="5">
        <f>SUMIFS('Spotlight Data Sheet Summary'!D:D,'Spotlight Data Sheet Summary'!A:A,2020,'Spotlight Data Sheet Summary'!C:C,I11)+SUMIFS('Spotlight Data Sheet Summary'!E:E,'Spotlight Data Sheet Summary'!A:A,2020,'Spotlight Data Sheet Summary'!C:C,I11)</f>
        <v>250</v>
      </c>
      <c r="L11" s="5">
        <f t="shared" si="2"/>
        <v>0</v>
      </c>
    </row>
    <row r="12" spans="1:12" ht="15.75" customHeight="1" x14ac:dyDescent="0.15">
      <c r="A12" s="4" t="s">
        <v>99</v>
      </c>
      <c r="B12" s="19">
        <v>71200007.239999995</v>
      </c>
      <c r="D12" s="5">
        <f t="shared" si="0"/>
        <v>200000.02033707863</v>
      </c>
      <c r="G12" s="20"/>
      <c r="I12" s="4" t="s">
        <v>38</v>
      </c>
      <c r="J12" s="5">
        <f t="shared" si="1"/>
        <v>2754</v>
      </c>
      <c r="K12" s="5">
        <f>SUMIFS('Spotlight Data Sheet Summary'!D:D,'Spotlight Data Sheet Summary'!A:A,2020,'Spotlight Data Sheet Summary'!C:C,I12)+SUMIFS('Spotlight Data Sheet Summary'!E:E,'Spotlight Data Sheet Summary'!A:A,2020,'Spotlight Data Sheet Summary'!C:C,I12)</f>
        <v>2754</v>
      </c>
      <c r="L12" s="5">
        <f t="shared" si="2"/>
        <v>0</v>
      </c>
    </row>
    <row r="13" spans="1:12" ht="15.75" customHeight="1" x14ac:dyDescent="0.15">
      <c r="D13" s="5">
        <f t="shared" si="0"/>
        <v>0</v>
      </c>
      <c r="F13" s="4" t="s">
        <v>101</v>
      </c>
      <c r="G13" s="12">
        <v>1520</v>
      </c>
      <c r="I13" s="4" t="s">
        <v>34</v>
      </c>
      <c r="J13" s="5">
        <f t="shared" si="1"/>
        <v>2224.4492977528089</v>
      </c>
      <c r="K13" s="5">
        <f>SUMIFS('Spotlight Data Sheet Summary'!D:D,'Spotlight Data Sheet Summary'!A:A,2020,'Spotlight Data Sheet Summary'!C:C,I13)+SUMIFS('Spotlight Data Sheet Summary'!E:E,'Spotlight Data Sheet Summary'!A:A,2020,'Spotlight Data Sheet Summary'!C:C,I13)</f>
        <v>2224</v>
      </c>
      <c r="L13" s="5">
        <f t="shared" si="2"/>
        <v>0.44929775280888862</v>
      </c>
    </row>
    <row r="14" spans="1:12" ht="15.75" customHeight="1" x14ac:dyDescent="0.15">
      <c r="A14" s="4" t="s">
        <v>100</v>
      </c>
      <c r="B14" s="19"/>
      <c r="D14" s="5">
        <f t="shared" si="0"/>
        <v>0</v>
      </c>
      <c r="G14" s="20"/>
      <c r="I14" s="4" t="s">
        <v>39</v>
      </c>
      <c r="J14" s="5">
        <f t="shared" si="1"/>
        <v>202.92</v>
      </c>
      <c r="K14" s="5">
        <f>SUMIFS('Spotlight Data Sheet Summary'!D:D,'Spotlight Data Sheet Summary'!A:A,2020,'Spotlight Data Sheet Summary'!C:C,I14)+SUMIFS('Spotlight Data Sheet Summary'!E:E,'Spotlight Data Sheet Summary'!A:A,2020,'Spotlight Data Sheet Summary'!C:C,I14)</f>
        <v>203</v>
      </c>
      <c r="L14" s="5">
        <f t="shared" si="2"/>
        <v>-8.0000000000012506E-2</v>
      </c>
    </row>
    <row r="15" spans="1:12" ht="15.75" customHeight="1" x14ac:dyDescent="0.15">
      <c r="A15" s="4" t="s">
        <v>33</v>
      </c>
      <c r="B15" s="19">
        <v>25919061</v>
      </c>
      <c r="D15" s="5">
        <f t="shared" si="0"/>
        <v>72806.351123595508</v>
      </c>
      <c r="F15" s="4" t="s">
        <v>102</v>
      </c>
      <c r="I15" s="4" t="s">
        <v>40</v>
      </c>
      <c r="J15" s="5">
        <f t="shared" si="1"/>
        <v>0</v>
      </c>
      <c r="K15" s="5">
        <f>SUMIFS('Spotlight Data Sheet Summary'!D:D,'Spotlight Data Sheet Summary'!A:A,2020,'Spotlight Data Sheet Summary'!C:C,I15)+SUMIFS('Spotlight Data Sheet Summary'!E:E,'Spotlight Data Sheet Summary'!A:A,2020,'Spotlight Data Sheet Summary'!C:C,I15)</f>
        <v>0</v>
      </c>
      <c r="L15" s="5">
        <f t="shared" si="2"/>
        <v>0</v>
      </c>
    </row>
    <row r="16" spans="1:12" ht="15.75" customHeight="1" x14ac:dyDescent="0.15">
      <c r="A16" s="4" t="s">
        <v>34</v>
      </c>
      <c r="B16" s="19">
        <v>791903.95</v>
      </c>
      <c r="D16" s="5">
        <f t="shared" si="0"/>
        <v>2224.4492977528089</v>
      </c>
      <c r="F16" s="4" t="s">
        <v>103</v>
      </c>
      <c r="G16" s="12">
        <v>156.94999999999999</v>
      </c>
      <c r="I16" s="4" t="s">
        <v>53</v>
      </c>
      <c r="J16" s="5">
        <f t="shared" si="1"/>
        <v>4314.7796910112356</v>
      </c>
      <c r="K16" s="5">
        <f>SUMIFS('Spotlight Data Sheet Summary'!D:D,'Spotlight Data Sheet Summary'!A:A,2020,'Spotlight Data Sheet Summary'!C:C,I16)+SUMIFS('Spotlight Data Sheet Summary'!E:E,'Spotlight Data Sheet Summary'!A:A,2020,'Spotlight Data Sheet Summary'!C:C,I16)</f>
        <v>4315</v>
      </c>
      <c r="L16" s="5">
        <f t="shared" si="2"/>
        <v>-0.22030898876437277</v>
      </c>
    </row>
    <row r="17" spans="1:12" ht="15.75" customHeight="1" x14ac:dyDescent="0.15">
      <c r="A17" s="4" t="s">
        <v>53</v>
      </c>
      <c r="B17" s="19">
        <v>107433.57</v>
      </c>
      <c r="D17" s="5">
        <f t="shared" si="0"/>
        <v>301.77969101123597</v>
      </c>
      <c r="F17" s="4" t="s">
        <v>37</v>
      </c>
      <c r="G17" s="20">
        <v>-37200</v>
      </c>
      <c r="I17" s="4" t="s">
        <v>35</v>
      </c>
      <c r="J17" s="5">
        <f t="shared" si="1"/>
        <v>0</v>
      </c>
      <c r="K17" s="5">
        <f>SUMIFS('Spotlight Data Sheet Summary'!D:D,'Spotlight Data Sheet Summary'!A:A,2020,'Spotlight Data Sheet Summary'!C:C,I17)+SUMIFS('Spotlight Data Sheet Summary'!E:E,'Spotlight Data Sheet Summary'!A:A,2020,'Spotlight Data Sheet Summary'!C:C,I17)</f>
        <v>0</v>
      </c>
      <c r="L17" s="5">
        <f t="shared" si="2"/>
        <v>0</v>
      </c>
    </row>
    <row r="18" spans="1:12" ht="15.75" customHeight="1" x14ac:dyDescent="0.15">
      <c r="A18" s="4" t="s">
        <v>47</v>
      </c>
      <c r="B18" s="19">
        <v>198773.57</v>
      </c>
      <c r="D18" s="5">
        <f t="shared" si="0"/>
        <v>558.35272471910116</v>
      </c>
      <c r="F18" s="4" t="s">
        <v>42</v>
      </c>
      <c r="G18" s="20">
        <v>-25406.7</v>
      </c>
      <c r="I18" s="4" t="s">
        <v>55</v>
      </c>
      <c r="J18" s="5">
        <f t="shared" si="1"/>
        <v>256.14999999999998</v>
      </c>
      <c r="K18" s="5">
        <f>SUMIFS('Spotlight Data Sheet Summary'!D:D,'Spotlight Data Sheet Summary'!A:A,2020,'Spotlight Data Sheet Summary'!C:C,I18)+SUMIFS('Spotlight Data Sheet Summary'!E:E,'Spotlight Data Sheet Summary'!A:A,2020,'Spotlight Data Sheet Summary'!C:C,I18)</f>
        <v>256</v>
      </c>
      <c r="L18" s="5">
        <f t="shared" si="2"/>
        <v>0.14999999999997726</v>
      </c>
    </row>
    <row r="19" spans="1:12" ht="15.75" customHeight="1" x14ac:dyDescent="0.15">
      <c r="A19" s="4" t="s">
        <v>28</v>
      </c>
      <c r="B19" s="19">
        <v>361000</v>
      </c>
      <c r="D19" s="5">
        <f t="shared" si="0"/>
        <v>1014.0449438202247</v>
      </c>
      <c r="F19" s="4" t="s">
        <v>43</v>
      </c>
      <c r="G19" s="20">
        <v>-250</v>
      </c>
      <c r="I19" s="4" t="s">
        <v>47</v>
      </c>
      <c r="J19" s="5">
        <f t="shared" si="1"/>
        <v>595.00272471910114</v>
      </c>
      <c r="K19" s="5">
        <f>SUMIFS('Spotlight Data Sheet Summary'!D:D,'Spotlight Data Sheet Summary'!A:A,2020,'Spotlight Data Sheet Summary'!C:C,I19)+SUMIFS('Spotlight Data Sheet Summary'!E:E,'Spotlight Data Sheet Summary'!A:A,2020,'Spotlight Data Sheet Summary'!C:C,I19)</f>
        <v>594</v>
      </c>
      <c r="L19" s="5">
        <f t="shared" si="2"/>
        <v>1.0027247191011384</v>
      </c>
    </row>
    <row r="20" spans="1:12" ht="15.75" customHeight="1" x14ac:dyDescent="0.15">
      <c r="A20" s="4" t="s">
        <v>24</v>
      </c>
      <c r="B20" s="19">
        <v>19491469</v>
      </c>
      <c r="D20" s="5">
        <f t="shared" si="0"/>
        <v>54751.317415730337</v>
      </c>
      <c r="F20" s="4" t="s">
        <v>38</v>
      </c>
      <c r="G20" s="20">
        <v>-2754</v>
      </c>
      <c r="I20" s="4" t="s">
        <v>28</v>
      </c>
      <c r="J20" s="5">
        <f t="shared" si="1"/>
        <v>1014.0449438202247</v>
      </c>
      <c r="K20" s="5">
        <f>SUMIFS('Spotlight Data Sheet Summary'!D:D,'Spotlight Data Sheet Summary'!A:A,2020,'Spotlight Data Sheet Summary'!C:C,I20)+SUMIFS('Spotlight Data Sheet Summary'!E:E,'Spotlight Data Sheet Summary'!A:A,2020,'Spotlight Data Sheet Summary'!C:C,I20)</f>
        <v>1015</v>
      </c>
      <c r="L20" s="5">
        <f t="shared" si="2"/>
        <v>-0.95505617977528345</v>
      </c>
    </row>
    <row r="21" spans="1:12" ht="15.75" customHeight="1" x14ac:dyDescent="0.15">
      <c r="A21" s="4" t="s">
        <v>25</v>
      </c>
      <c r="B21" s="19">
        <v>3531900</v>
      </c>
      <c r="D21" s="5">
        <f t="shared" si="0"/>
        <v>9921.0674157303365</v>
      </c>
      <c r="F21" s="4" t="s">
        <v>39</v>
      </c>
      <c r="G21" s="20">
        <v>-202.92</v>
      </c>
      <c r="I21" s="4" t="s">
        <v>22</v>
      </c>
      <c r="J21" s="5">
        <f t="shared" si="1"/>
        <v>0</v>
      </c>
      <c r="K21" s="5">
        <f>SUMIFS('Spotlight Data Sheet Summary'!D:D,'Spotlight Data Sheet Summary'!A:A,2020,'Spotlight Data Sheet Summary'!C:C,I21)+SUMIFS('Spotlight Data Sheet Summary'!E:E,'Spotlight Data Sheet Summary'!A:A,2020,'Spotlight Data Sheet Summary'!C:C,I21)</f>
        <v>0</v>
      </c>
      <c r="L21" s="5">
        <f t="shared" si="2"/>
        <v>0</v>
      </c>
    </row>
    <row r="22" spans="1:12" ht="15.75" customHeight="1" x14ac:dyDescent="0.15">
      <c r="A22" s="4" t="s">
        <v>29</v>
      </c>
      <c r="B22" s="19">
        <v>1626974</v>
      </c>
      <c r="D22" s="5">
        <f t="shared" si="0"/>
        <v>4570.151685393258</v>
      </c>
      <c r="F22" s="4" t="s">
        <v>53</v>
      </c>
      <c r="G22" s="20">
        <v>-4013</v>
      </c>
      <c r="I22" s="4" t="s">
        <v>24</v>
      </c>
      <c r="J22" s="5">
        <f t="shared" si="1"/>
        <v>54751.317415730337</v>
      </c>
      <c r="K22" s="5">
        <f>SUMIFS('Spotlight Data Sheet Summary'!D:D,'Spotlight Data Sheet Summary'!A:A,2020,'Spotlight Data Sheet Summary'!C:C,I22)+SUMIFS('Spotlight Data Sheet Summary'!E:E,'Spotlight Data Sheet Summary'!A:A,2020,'Spotlight Data Sheet Summary'!C:C,I22)</f>
        <v>54752</v>
      </c>
      <c r="L22" s="5">
        <f t="shared" si="2"/>
        <v>-0.68258426966349361</v>
      </c>
    </row>
    <row r="23" spans="1:12" ht="15.75" customHeight="1" x14ac:dyDescent="0.15">
      <c r="A23" s="4" t="s">
        <v>26</v>
      </c>
      <c r="B23" s="19">
        <v>978400</v>
      </c>
      <c r="D23" s="5">
        <f t="shared" si="0"/>
        <v>2748.3146067415732</v>
      </c>
      <c r="F23" s="4" t="s">
        <v>55</v>
      </c>
      <c r="G23" s="20">
        <v>-256.14999999999998</v>
      </c>
      <c r="I23" s="4" t="s">
        <v>25</v>
      </c>
      <c r="J23" s="5">
        <f t="shared" si="1"/>
        <v>9921.0674157303365</v>
      </c>
      <c r="K23" s="5">
        <f>SUMIFS('Spotlight Data Sheet Summary'!D:D,'Spotlight Data Sheet Summary'!A:A,2020,'Spotlight Data Sheet Summary'!C:C,I23)+SUMIFS('Spotlight Data Sheet Summary'!E:E,'Spotlight Data Sheet Summary'!A:A,2020,'Spotlight Data Sheet Summary'!C:C,I23)</f>
        <v>9921</v>
      </c>
      <c r="L23" s="5">
        <f t="shared" si="2"/>
        <v>6.7415730336506385E-2</v>
      </c>
    </row>
    <row r="24" spans="1:12" ht="15.75" customHeight="1" x14ac:dyDescent="0.15">
      <c r="A24" s="4" t="s">
        <v>62</v>
      </c>
      <c r="B24" s="19">
        <v>-116.12</v>
      </c>
      <c r="D24" s="5">
        <f t="shared" si="0"/>
        <v>-0.32617977528089886</v>
      </c>
      <c r="F24" s="4" t="s">
        <v>47</v>
      </c>
      <c r="G24" s="20">
        <v>-36.65</v>
      </c>
      <c r="I24" s="4" t="s">
        <v>68</v>
      </c>
      <c r="J24" s="5">
        <f t="shared" si="1"/>
        <v>0</v>
      </c>
      <c r="K24" s="5">
        <f>SUMIFS('Spotlight Data Sheet Summary'!D:D,'Spotlight Data Sheet Summary'!A:A,2020,'Spotlight Data Sheet Summary'!C:C,I24)+SUMIFS('Spotlight Data Sheet Summary'!E:E,'Spotlight Data Sheet Summary'!A:A,2020,'Spotlight Data Sheet Summary'!C:C,I24)</f>
        <v>0</v>
      </c>
      <c r="L24" s="5">
        <f t="shared" si="2"/>
        <v>0</v>
      </c>
    </row>
    <row r="25" spans="1:12" ht="15.75" customHeight="1" x14ac:dyDescent="0.15">
      <c r="A25" s="4" t="s">
        <v>48</v>
      </c>
      <c r="B25" s="19">
        <v>317500</v>
      </c>
      <c r="D25" s="5">
        <f t="shared" si="0"/>
        <v>891.85393258426961</v>
      </c>
      <c r="F25" s="4" t="s">
        <v>56</v>
      </c>
      <c r="G25" s="20">
        <v>-50</v>
      </c>
      <c r="I25" s="4" t="s">
        <v>29</v>
      </c>
      <c r="J25" s="5">
        <f t="shared" si="1"/>
        <v>4570.151685393258</v>
      </c>
      <c r="K25" s="5">
        <f>SUMIFS('Spotlight Data Sheet Summary'!D:D,'Spotlight Data Sheet Summary'!A:A,2020,'Spotlight Data Sheet Summary'!C:C,I25)+SUMIFS('Spotlight Data Sheet Summary'!E:E,'Spotlight Data Sheet Summary'!A:A,2020,'Spotlight Data Sheet Summary'!C:C,I25)</f>
        <v>4570</v>
      </c>
      <c r="L25" s="5">
        <f t="shared" si="2"/>
        <v>0.15168539325804886</v>
      </c>
    </row>
    <row r="26" spans="1:12" ht="15.75" customHeight="1" x14ac:dyDescent="0.15">
      <c r="A26" s="4" t="s">
        <v>30</v>
      </c>
      <c r="B26" s="19">
        <v>664700</v>
      </c>
      <c r="D26" s="5">
        <f t="shared" si="0"/>
        <v>1867.1348314606741</v>
      </c>
      <c r="F26" s="4" t="s">
        <v>48</v>
      </c>
      <c r="G26" s="20">
        <v>-435.46</v>
      </c>
      <c r="I26" s="4" t="s">
        <v>69</v>
      </c>
      <c r="J26" s="5">
        <f t="shared" si="1"/>
        <v>0</v>
      </c>
      <c r="K26" s="5">
        <f>SUMIFS('Spotlight Data Sheet Summary'!D:D,'Spotlight Data Sheet Summary'!A:A,2020,'Spotlight Data Sheet Summary'!C:C,I26)+SUMIFS('Spotlight Data Sheet Summary'!E:E,'Spotlight Data Sheet Summary'!A:A,2020,'Spotlight Data Sheet Summary'!C:C,I26)</f>
        <v>0</v>
      </c>
      <c r="L26" s="5">
        <f t="shared" si="2"/>
        <v>0</v>
      </c>
    </row>
    <row r="27" spans="1:12" ht="15.75" customHeight="1" x14ac:dyDescent="0.15">
      <c r="A27" s="4" t="s">
        <v>58</v>
      </c>
      <c r="B27" s="19">
        <v>747140</v>
      </c>
      <c r="D27" s="5">
        <f t="shared" si="0"/>
        <v>2098.7078651685392</v>
      </c>
      <c r="F27" s="4" t="s">
        <v>51</v>
      </c>
      <c r="G27" s="20">
        <v>-15848.42</v>
      </c>
      <c r="I27" s="4" t="s">
        <v>26</v>
      </c>
      <c r="J27" s="5">
        <f t="shared" si="1"/>
        <v>2748.3146067415732</v>
      </c>
      <c r="K27" s="5">
        <f>SUMIFS('Spotlight Data Sheet Summary'!D:D,'Spotlight Data Sheet Summary'!A:A,2020,'Spotlight Data Sheet Summary'!C:C,I27)+SUMIFS('Spotlight Data Sheet Summary'!E:E,'Spotlight Data Sheet Summary'!A:A,2020,'Spotlight Data Sheet Summary'!C:C,I27)</f>
        <v>2749</v>
      </c>
      <c r="L27" s="5">
        <f t="shared" si="2"/>
        <v>-0.6853932584267568</v>
      </c>
    </row>
    <row r="28" spans="1:12" ht="15.75" customHeight="1" x14ac:dyDescent="0.15">
      <c r="A28" s="4" t="s">
        <v>46</v>
      </c>
      <c r="B28" s="19">
        <v>110000</v>
      </c>
      <c r="D28" s="5">
        <f t="shared" si="0"/>
        <v>308.98876404494382</v>
      </c>
      <c r="F28" s="4" t="s">
        <v>46</v>
      </c>
      <c r="G28" s="20">
        <v>-104.86</v>
      </c>
      <c r="I28" s="4" t="s">
        <v>56</v>
      </c>
      <c r="J28" s="5">
        <f t="shared" si="1"/>
        <v>50</v>
      </c>
      <c r="K28" s="5">
        <f>SUMIFS('Spotlight Data Sheet Summary'!D:D,'Spotlight Data Sheet Summary'!A:A,2020,'Spotlight Data Sheet Summary'!C:C,I28)+SUMIFS('Spotlight Data Sheet Summary'!E:E,'Spotlight Data Sheet Summary'!A:A,2020,'Spotlight Data Sheet Summary'!C:C,I28)</f>
        <v>50</v>
      </c>
      <c r="L28" s="5">
        <f t="shared" si="2"/>
        <v>0</v>
      </c>
    </row>
    <row r="29" spans="1:12" ht="15.75" customHeight="1" x14ac:dyDescent="0.15">
      <c r="A29" s="4" t="s">
        <v>32</v>
      </c>
      <c r="B29" s="19">
        <v>1636218.14</v>
      </c>
      <c r="D29" s="5">
        <f t="shared" si="0"/>
        <v>4596.1183707865166</v>
      </c>
      <c r="F29" s="4" t="s">
        <v>106</v>
      </c>
      <c r="G29" s="20">
        <v>-200000</v>
      </c>
      <c r="I29" s="4" t="s">
        <v>61</v>
      </c>
      <c r="J29" s="5">
        <f t="shared" si="1"/>
        <v>0</v>
      </c>
      <c r="K29" s="5">
        <f>SUMIFS('Spotlight Data Sheet Summary'!D:D,'Spotlight Data Sheet Summary'!A:A,2020,'Spotlight Data Sheet Summary'!C:C,I29)+SUMIFS('Spotlight Data Sheet Summary'!E:E,'Spotlight Data Sheet Summary'!A:A,2020,'Spotlight Data Sheet Summary'!C:C,I29)</f>
        <v>0</v>
      </c>
      <c r="L29" s="5">
        <f t="shared" si="2"/>
        <v>0</v>
      </c>
    </row>
    <row r="30" spans="1:12" ht="15.75" customHeight="1" x14ac:dyDescent="0.15">
      <c r="A30" s="4" t="s">
        <v>21</v>
      </c>
      <c r="B30" s="19">
        <v>49675000</v>
      </c>
      <c r="D30" s="5">
        <f t="shared" si="0"/>
        <v>139536.51685393258</v>
      </c>
      <c r="F30" s="4" t="s">
        <v>107</v>
      </c>
      <c r="G30" s="20">
        <v>-286401.21000000002</v>
      </c>
      <c r="I30" s="4" t="s">
        <v>62</v>
      </c>
      <c r="J30" s="5">
        <f t="shared" si="1"/>
        <v>-0.32617977528089886</v>
      </c>
      <c r="K30" s="5">
        <f>SUMIFS('Spotlight Data Sheet Summary'!D:D,'Spotlight Data Sheet Summary'!A:A,2020,'Spotlight Data Sheet Summary'!C:C,I30)+SUMIFS('Spotlight Data Sheet Summary'!E:E,'Spotlight Data Sheet Summary'!A:A,2020,'Spotlight Data Sheet Summary'!C:C,I30)</f>
        <v>0</v>
      </c>
      <c r="L30" s="5">
        <f t="shared" si="2"/>
        <v>-0.32617977528089886</v>
      </c>
    </row>
    <row r="31" spans="1:12" ht="15.75" customHeight="1" x14ac:dyDescent="0.15">
      <c r="A31" s="4" t="s">
        <v>115</v>
      </c>
      <c r="B31" s="19">
        <v>-1950.63</v>
      </c>
      <c r="D31" s="5">
        <f t="shared" si="0"/>
        <v>-5.4792977528089892</v>
      </c>
      <c r="G31" s="20"/>
      <c r="I31" s="4" t="s">
        <v>63</v>
      </c>
      <c r="J31" s="5">
        <f t="shared" si="1"/>
        <v>0</v>
      </c>
      <c r="K31" s="5">
        <f>SUMIFS('Spotlight Data Sheet Summary'!D:D,'Spotlight Data Sheet Summary'!A:A,2020,'Spotlight Data Sheet Summary'!C:C,I31)+SUMIFS('Spotlight Data Sheet Summary'!E:E,'Spotlight Data Sheet Summary'!A:A,2020,'Spotlight Data Sheet Summary'!C:C,I31)</f>
        <v>0</v>
      </c>
      <c r="L31" s="5">
        <f t="shared" si="2"/>
        <v>0</v>
      </c>
    </row>
    <row r="32" spans="1:12" ht="15.75" customHeight="1" x14ac:dyDescent="0.15">
      <c r="A32" s="4" t="s">
        <v>104</v>
      </c>
      <c r="B32" s="19">
        <v>106155406.48</v>
      </c>
      <c r="D32" s="5">
        <f t="shared" si="0"/>
        <v>298189.34404494381</v>
      </c>
      <c r="F32" s="4" t="s">
        <v>116</v>
      </c>
      <c r="G32" s="20">
        <v>-284881.21000000002</v>
      </c>
      <c r="I32" s="4" t="s">
        <v>48</v>
      </c>
      <c r="J32" s="5">
        <f t="shared" si="1"/>
        <v>1327.3139325842697</v>
      </c>
      <c r="K32" s="5">
        <f>SUMIFS('Spotlight Data Sheet Summary'!D:D,'Spotlight Data Sheet Summary'!A:A,2020,'Spotlight Data Sheet Summary'!C:C,I32)+SUMIFS('Spotlight Data Sheet Summary'!E:E,'Spotlight Data Sheet Summary'!A:A,2020,'Spotlight Data Sheet Summary'!C:C,I32)</f>
        <v>1327</v>
      </c>
      <c r="L32" s="5">
        <f t="shared" si="2"/>
        <v>0.31393258426965076</v>
      </c>
    </row>
    <row r="33" spans="1:12" ht="15.75" customHeight="1" x14ac:dyDescent="0.15">
      <c r="B33" s="19"/>
      <c r="D33" s="5">
        <f t="shared" si="0"/>
        <v>0</v>
      </c>
      <c r="G33" s="20"/>
      <c r="I33" s="4" t="s">
        <v>30</v>
      </c>
      <c r="J33" s="5">
        <f t="shared" si="1"/>
        <v>1867.1348314606741</v>
      </c>
      <c r="K33" s="5">
        <f>SUMIFS('Spotlight Data Sheet Summary'!D:D,'Spotlight Data Sheet Summary'!A:A,2020,'Spotlight Data Sheet Summary'!C:C,I33)+SUMIFS('Spotlight Data Sheet Summary'!E:E,'Spotlight Data Sheet Summary'!A:A,2020,'Spotlight Data Sheet Summary'!C:C,I33)</f>
        <v>1867</v>
      </c>
      <c r="L33" s="5">
        <f t="shared" si="2"/>
        <v>0.13483146067414964</v>
      </c>
    </row>
    <row r="34" spans="1:12" ht="15.75" customHeight="1" x14ac:dyDescent="0.15">
      <c r="A34" s="4" t="s">
        <v>105</v>
      </c>
      <c r="B34" s="19">
        <v>-34955399.240000002</v>
      </c>
      <c r="D34" s="5">
        <f t="shared" si="0"/>
        <v>-98189.323707865173</v>
      </c>
      <c r="G34" s="20"/>
      <c r="I34" s="4" t="s">
        <v>44</v>
      </c>
      <c r="J34" s="5">
        <f t="shared" si="1"/>
        <v>0</v>
      </c>
      <c r="K34" s="5">
        <f>SUMIFS('Spotlight Data Sheet Summary'!D:D,'Spotlight Data Sheet Summary'!A:A,2020,'Spotlight Data Sheet Summary'!C:C,I34)+SUMIFS('Spotlight Data Sheet Summary'!E:E,'Spotlight Data Sheet Summary'!A:A,2020,'Spotlight Data Sheet Summary'!C:C,I34)</f>
        <v>0</v>
      </c>
      <c r="L34" s="5">
        <f t="shared" si="2"/>
        <v>0</v>
      </c>
    </row>
    <row r="35" spans="1:12" ht="15.75" customHeight="1" x14ac:dyDescent="0.15">
      <c r="B35" s="19"/>
      <c r="D35" s="5"/>
      <c r="F35" s="4" t="s">
        <v>112</v>
      </c>
      <c r="G35" s="20">
        <v>-284881.21000000002</v>
      </c>
      <c r="I35" s="4" t="s">
        <v>51</v>
      </c>
      <c r="J35" s="5">
        <f t="shared" si="1"/>
        <v>15848.42</v>
      </c>
      <c r="K35" s="5">
        <f>SUMIFS('Spotlight Data Sheet Summary'!D:D,'Spotlight Data Sheet Summary'!A:A,2020,'Spotlight Data Sheet Summary'!C:C,I35)+SUMIFS('Spotlight Data Sheet Summary'!E:E,'Spotlight Data Sheet Summary'!A:A,2020,'Spotlight Data Sheet Summary'!C:C,I35)</f>
        <v>15848</v>
      </c>
      <c r="L35" s="5">
        <f t="shared" si="2"/>
        <v>0.42000000000007276</v>
      </c>
    </row>
    <row r="36" spans="1:12" ht="15.75" customHeight="1" x14ac:dyDescent="0.15">
      <c r="B36" s="19"/>
      <c r="D36" s="5"/>
      <c r="G36" s="20"/>
      <c r="I36" s="4" t="s">
        <v>58</v>
      </c>
      <c r="J36" s="5">
        <f t="shared" si="1"/>
        <v>2098.7078651685392</v>
      </c>
      <c r="K36" s="5">
        <f>SUMIFS('Spotlight Data Sheet Summary'!D:D,'Spotlight Data Sheet Summary'!A:A,2020,'Spotlight Data Sheet Summary'!C:C,I36)+SUMIFS('Spotlight Data Sheet Summary'!E:E,'Spotlight Data Sheet Summary'!A:A,2020,'Spotlight Data Sheet Summary'!C:C,I36)</f>
        <v>2099</v>
      </c>
      <c r="L36" s="5">
        <f t="shared" si="2"/>
        <v>-0.29213483146077124</v>
      </c>
    </row>
    <row r="37" spans="1:12" ht="15.75" customHeight="1" x14ac:dyDescent="0.15">
      <c r="B37" s="19"/>
      <c r="D37" s="5"/>
      <c r="G37" s="12"/>
      <c r="I37" s="4" t="s">
        <v>46</v>
      </c>
      <c r="J37" s="5">
        <f t="shared" si="1"/>
        <v>413.84876404494383</v>
      </c>
      <c r="K37" s="5">
        <f>SUMIFS('Spotlight Data Sheet Summary'!D:D,'Spotlight Data Sheet Summary'!A:A,2020,'Spotlight Data Sheet Summary'!C:C,I37)+SUMIFS('Spotlight Data Sheet Summary'!E:E,'Spotlight Data Sheet Summary'!A:A,2020,'Spotlight Data Sheet Summary'!C:C,I37)</f>
        <v>414</v>
      </c>
      <c r="L37" s="5">
        <f t="shared" si="2"/>
        <v>-0.15123595505616549</v>
      </c>
    </row>
    <row r="38" spans="1:12" ht="15.75" customHeight="1" x14ac:dyDescent="0.15">
      <c r="B38" s="19"/>
      <c r="D38" s="5"/>
      <c r="F38" s="4" t="s">
        <v>113</v>
      </c>
      <c r="G38" s="20">
        <v>-284881.21000000002</v>
      </c>
      <c r="I38" s="4" t="s">
        <v>32</v>
      </c>
      <c r="J38" s="5">
        <f t="shared" si="1"/>
        <v>4596.1183707865166</v>
      </c>
      <c r="K38" s="5">
        <f>SUMIFS('Spotlight Data Sheet Summary'!D:D,'Spotlight Data Sheet Summary'!A:A,2020,'Spotlight Data Sheet Summary'!C:C,I38)+SUMIFS('Spotlight Data Sheet Summary'!E:E,'Spotlight Data Sheet Summary'!A:A,2020,'Spotlight Data Sheet Summary'!C:C,I38)</f>
        <v>4596</v>
      </c>
      <c r="L38" s="5">
        <f t="shared" si="2"/>
        <v>0.11837078651660704</v>
      </c>
    </row>
    <row r="39" spans="1:12" ht="15.75" customHeight="1" x14ac:dyDescent="0.15">
      <c r="G39" s="12"/>
      <c r="I39" s="4" t="s">
        <v>21</v>
      </c>
      <c r="J39" s="5">
        <f t="shared" si="1"/>
        <v>139536.51685393258</v>
      </c>
      <c r="K39" s="5">
        <f>SUMIFS('Spotlight Data Sheet Summary'!D:D,'Spotlight Data Sheet Summary'!A:A,2020,'Spotlight Data Sheet Summary'!C:C,I39)+SUMIFS('Spotlight Data Sheet Summary'!E:E,'Spotlight Data Sheet Summary'!A:A,2020,'Spotlight Data Sheet Summary'!C:C,I39)</f>
        <v>139536</v>
      </c>
      <c r="L39" s="5">
        <f t="shared" si="2"/>
        <v>0.51685393258230761</v>
      </c>
    </row>
    <row r="40" spans="1:12" ht="15.75" customHeight="1" x14ac:dyDescent="0.15">
      <c r="B40" s="19"/>
      <c r="G40" s="12"/>
      <c r="I40" s="4" t="s">
        <v>115</v>
      </c>
      <c r="J40" s="5">
        <f t="shared" si="1"/>
        <v>-5.4792977528089892</v>
      </c>
      <c r="K40" s="25">
        <v>-5</v>
      </c>
      <c r="L40" s="5">
        <f t="shared" si="2"/>
        <v>-0.47929775280898923</v>
      </c>
    </row>
    <row r="41" spans="1:12" ht="15.75" customHeight="1" x14ac:dyDescent="0.15">
      <c r="G41" s="20"/>
    </row>
    <row r="42" spans="1:12" ht="15.75" customHeight="1" x14ac:dyDescent="0.15">
      <c r="I42" s="3" t="s">
        <v>109</v>
      </c>
      <c r="J42" s="6">
        <f>SUM(J8:J40)</f>
        <v>384747.50404494384</v>
      </c>
    </row>
    <row r="43" spans="1:12" ht="15.75" customHeight="1" x14ac:dyDescent="0.15">
      <c r="G43" s="12"/>
      <c r="I43" s="3" t="s">
        <v>110</v>
      </c>
      <c r="J43" s="5">
        <f>SUMIF('Spotlight Data Sheet Summary'!A:A,2020,'Spotlight Data Sheet Summary'!D:D)+SUMIF('Spotlight Data Sheet Summary'!A:A,2020,'Spotlight Data Sheet Summary'!E:E)</f>
        <v>384747</v>
      </c>
    </row>
    <row r="44" spans="1:12" ht="15.75" customHeight="1" x14ac:dyDescent="0.15">
      <c r="G44" s="20"/>
      <c r="I44" s="21" t="s">
        <v>111</v>
      </c>
      <c r="J44" s="22">
        <f>J42-J43</f>
        <v>0.50404494383838028</v>
      </c>
      <c r="K44" s="23"/>
      <c r="L44" s="22">
        <f>SUM(L8:L40)</f>
        <v>0.50404494381972853</v>
      </c>
    </row>
    <row r="46" spans="1:12" ht="15.75" customHeight="1" x14ac:dyDescent="0.15">
      <c r="G46" s="12"/>
    </row>
  </sheetData>
  <mergeCells count="3">
    <mergeCell ref="I1:J1"/>
    <mergeCell ref="I2:J2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Total Expense Summary</vt:lpstr>
      <vt:lpstr>Total Detailed Expense</vt:lpstr>
      <vt:lpstr>Comparative Annual Spending Sum</vt:lpstr>
      <vt:lpstr>Comparative Detailed Expense</vt:lpstr>
      <vt:lpstr>Spotlight Data Sheet Summary</vt:lpstr>
      <vt:lpstr>Xero-Spotlight Reconciliation 2</vt:lpstr>
      <vt:lpstr>Sheet7</vt:lpstr>
      <vt:lpstr>Sheet8</vt:lpstr>
      <vt:lpstr>Sheet9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Robin Dey</cp:lastModifiedBy>
  <dcterms:modified xsi:type="dcterms:W3CDTF">2020-11-11T19:01:15Z</dcterms:modified>
  <cp:category/>
</cp:coreProperties>
</file>