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8520"/>
  </bookViews>
  <sheets>
    <sheet name="2016 - 2017 summary" sheetId="1" r:id="rId1"/>
    <sheet name="Unrestricted commitments" sheetId="2" r:id="rId2"/>
    <sheet name="Unrestricted forecasts" sheetId="3" r:id="rId3"/>
  </sheets>
  <calcPr calcId="152511"/>
</workbook>
</file>

<file path=xl/calcChain.xml><?xml version="1.0" encoding="utf-8"?>
<calcChain xmlns="http://schemas.openxmlformats.org/spreadsheetml/2006/main">
  <c r="C15" i="3" l="1"/>
  <c r="C14" i="2"/>
  <c r="C5" i="2" s="1"/>
  <c r="G50" i="1"/>
  <c r="G49" i="1"/>
  <c r="D49" i="1"/>
  <c r="H48" i="1"/>
  <c r="F48" i="1"/>
  <c r="F47" i="1"/>
  <c r="C47" i="1"/>
  <c r="H47" i="1" s="1"/>
  <c r="F46" i="1"/>
  <c r="H46" i="1" s="1"/>
  <c r="D46" i="1"/>
  <c r="I44" i="1"/>
  <c r="G44" i="1"/>
  <c r="E44" i="1"/>
  <c r="E49" i="1" s="1"/>
  <c r="H43" i="1"/>
  <c r="F43" i="1"/>
  <c r="H42" i="1"/>
  <c r="F42" i="1"/>
  <c r="E41" i="1"/>
  <c r="E50" i="1" s="1"/>
  <c r="D41" i="1"/>
  <c r="C41" i="1"/>
  <c r="B41" i="1"/>
  <c r="B44" i="1" s="1"/>
  <c r="C28" i="1"/>
  <c r="C34" i="1" s="1"/>
  <c r="B28" i="1"/>
  <c r="B34" i="1" s="1"/>
  <c r="G13" i="1"/>
  <c r="C13" i="1"/>
  <c r="F12" i="1"/>
  <c r="I12" i="1" s="1"/>
  <c r="F11" i="1"/>
  <c r="I11" i="1" s="1"/>
  <c r="H10" i="1"/>
  <c r="H12" i="1" s="1"/>
  <c r="F10" i="1"/>
  <c r="I10" i="1" s="1"/>
  <c r="I9" i="1"/>
  <c r="F9" i="1"/>
  <c r="H7" i="1"/>
  <c r="H13" i="1" s="1"/>
  <c r="G7" i="1"/>
  <c r="E7" i="1"/>
  <c r="C7" i="1"/>
  <c r="I6" i="1"/>
  <c r="F6" i="1"/>
  <c r="I5" i="1"/>
  <c r="F5" i="1"/>
  <c r="G4" i="1"/>
  <c r="E4" i="1"/>
  <c r="E13" i="1" s="1"/>
  <c r="D4" i="1"/>
  <c r="C4" i="1"/>
  <c r="B4" i="1"/>
  <c r="B7" i="1" s="1"/>
  <c r="C50" i="1" l="1"/>
  <c r="F49" i="1"/>
  <c r="H49" i="1" s="1"/>
  <c r="C4" i="2" s="1"/>
  <c r="C7" i="2" s="1"/>
  <c r="C44" i="1"/>
  <c r="F4" i="1"/>
  <c r="D7" i="1"/>
  <c r="D13" i="1" s="1"/>
  <c r="B13" i="1"/>
  <c r="F41" i="1"/>
  <c r="D44" i="1"/>
  <c r="D50" i="1" s="1"/>
  <c r="B50" i="1"/>
  <c r="F7" i="1" l="1"/>
  <c r="F13" i="1"/>
  <c r="I4" i="1"/>
  <c r="F44" i="1"/>
  <c r="F50" i="1" s="1"/>
  <c r="H41" i="1"/>
  <c r="C6" i="3"/>
  <c r="C8" i="3" s="1"/>
  <c r="I49" i="1"/>
  <c r="I50" i="1" s="1"/>
  <c r="I7" i="1" l="1"/>
  <c r="I13" i="1"/>
  <c r="H44" i="1"/>
  <c r="H50" i="1" s="1"/>
</calcChain>
</file>

<file path=xl/sharedStrings.xml><?xml version="1.0" encoding="utf-8"?>
<sst xmlns="http://schemas.openxmlformats.org/spreadsheetml/2006/main" count="99" uniqueCount="73">
  <si>
    <t>Evidence Action January through December 31 2016 Revenue and Expenditures</t>
  </si>
  <si>
    <t>Evidence Action - Commitments of unrestricted funds available as of 6/30/17</t>
  </si>
  <si>
    <t>Amount</t>
  </si>
  <si>
    <t>Source</t>
  </si>
  <si>
    <t>Current balance as of 6/30/17</t>
  </si>
  <si>
    <t>Evidence Action - Forecast of unrestricted funds at 12/31/17</t>
  </si>
  <si>
    <t>Program/Area**</t>
  </si>
  <si>
    <t>Notes</t>
  </si>
  <si>
    <t>Unrestricted funds not committed at 6/30/17</t>
  </si>
  <si>
    <t>Per prior tab</t>
  </si>
  <si>
    <t>Unrestricted Fundraising target, July-Dec 2017</t>
  </si>
  <si>
    <t>Projected unrestricted balance at 12/31/17 to allocate to 2018 budgets</t>
  </si>
  <si>
    <t>Evidence Action - 2018 Planned use of unrestricted funds*</t>
  </si>
  <si>
    <t>DSW planned program spending</t>
  </si>
  <si>
    <t>DTW planned program spending</t>
  </si>
  <si>
    <t>Beta planned program spending</t>
  </si>
  <si>
    <t>Total</t>
  </si>
  <si>
    <t>*These are preliminary estimates given significant fundraising underway and will be updated in Q1 2018</t>
  </si>
  <si>
    <t xml:space="preserve">Revenue  </t>
  </si>
  <si>
    <t>Direct Expenses</t>
  </si>
  <si>
    <t>From balance analysis</t>
  </si>
  <si>
    <t>Total Expenses</t>
  </si>
  <si>
    <t>Current planned commitments of unrestricted funds</t>
  </si>
  <si>
    <t>Closing Balance 12/31/16</t>
  </si>
  <si>
    <t>Beta (incl. Pro Poor)</t>
  </si>
  <si>
    <t>See detail below</t>
  </si>
  <si>
    <t>Earmarked for operating reserves</t>
  </si>
  <si>
    <t>Reserve to be established at year end</t>
  </si>
  <si>
    <t>Unrestricted funds not committed</t>
  </si>
  <si>
    <t>Balance at 6/30/17</t>
  </si>
  <si>
    <t>Program/Area*</t>
  </si>
  <si>
    <t>Beta funds transfer (planned)</t>
  </si>
  <si>
    <t>Earmarked to cover the Beta and G-United negative balances at 6/30/17 as well as to cover the ongoing monthly operating costs should fundraising efforts not be successful</t>
  </si>
  <si>
    <t>Dispensers for Safe Water funds transfer (planned)</t>
  </si>
  <si>
    <t>No further transfers planned in 2017</t>
  </si>
  <si>
    <t>Deworm the World Initiative funds transfer (planned)</t>
  </si>
  <si>
    <t>No transfers planned in 2017</t>
  </si>
  <si>
    <t>Total Planned</t>
  </si>
  <si>
    <t>Note:</t>
  </si>
  <si>
    <t xml:space="preserve">At the time of submitting the 2016 report, it was anticipated that Evidence Action would allocate unrestricted funds to Deworm the World Initiative in both 2016 and 2017. As greater visibility has been obtained into the organizational financial position, it became evident that the level of available and uncommitted unrestricted funding is very low– at the end of June 2017, unrestricted funds covered approximately 4 weeks of the organization's annual expenses. Unrestricted funding serves as the sole organizational backstop with the exception of Deworm the World reserves.  Moreover maintaining a robust level of flexible unrestricted reserves is seen as particularly important during this period when we are still dealing with the implications of the issues discovered during the ongoing clean-up. Looking forward, Evidence Action is seeking to develop a further organizational backstop through the development and institutionalization of an organization-wide reserve policy. In parallel Evidence Action will be making investments in our general fundraising to build unrestricted balances. However for 2016 and 2017, given the low unrestricted funding levels, the organization sought to preserve these funds to serve as a minimal organizational backstop, and use these funds only for programs with significant and acute gaps.  </t>
  </si>
  <si>
    <t>G-United</t>
  </si>
  <si>
    <t>No Lean Season</t>
  </si>
  <si>
    <t xml:space="preserve">Beta sub total </t>
  </si>
  <si>
    <t>Deworm the World Initiative</t>
  </si>
  <si>
    <t xml:space="preserve">Dispensers for Safe Water </t>
  </si>
  <si>
    <t>Evidence Action - restricted</t>
  </si>
  <si>
    <t>Evidence Action - unrestricted</t>
  </si>
  <si>
    <t>NOTES:</t>
  </si>
  <si>
    <r>
      <t xml:space="preserve">2 </t>
    </r>
    <r>
      <rPr>
        <sz val="10"/>
        <color rgb="FF000000"/>
        <rFont val="Calibri"/>
      </rPr>
      <t>Supporting services include Management &amp; General Administration and Fundraising expenses. Portion of these costs are recovered from the program donors through the indirect cost recovery charge, which is shown as a cost to the programs and a recovery against unrestricted expenses</t>
    </r>
  </si>
  <si>
    <t>Opening Balance 01/01/16</t>
  </si>
  <si>
    <t>Per the 2016 report</t>
  </si>
  <si>
    <t>Beta</t>
  </si>
  <si>
    <t>Pro Poor</t>
  </si>
  <si>
    <t>Evidence Action January through June 30 2017 Revenue and Expenditures</t>
  </si>
  <si>
    <t>Opening Balance 01/01/17</t>
  </si>
  <si>
    <t>Internal Transfers</t>
  </si>
  <si>
    <t>Closing Balance 06/30/17</t>
  </si>
  <si>
    <t>Amount uncommitted as of 06/30/17</t>
  </si>
  <si>
    <r>
      <t xml:space="preserve">4 </t>
    </r>
    <r>
      <rPr>
        <sz val="10"/>
        <color rgb="FF000000"/>
        <rFont val="Calibri"/>
      </rPr>
      <t>Supporting services include Management &amp; General Administration and Fundraising expenses. Portion of these costs are recovered from the program donors through the indirect cost recovery charge, which is shown as a cost to the programs and a recovery against unrestricted expenses</t>
    </r>
  </si>
  <si>
    <r>
      <t>Opening Balance 01/01/16</t>
    </r>
    <r>
      <rPr>
        <vertAlign val="superscript"/>
        <sz val="9"/>
        <color rgb="FF000000"/>
        <rFont val="Calibri"/>
        <family val="2"/>
      </rPr>
      <t>3</t>
    </r>
  </si>
  <si>
    <r>
      <rPr>
        <vertAlign val="superscript"/>
        <sz val="10"/>
        <color rgb="FF000000"/>
        <rFont val="Calibri"/>
        <family val="2"/>
      </rPr>
      <t>3</t>
    </r>
    <r>
      <rPr>
        <sz val="10"/>
        <color rgb="FF000000"/>
        <rFont val="Calibri"/>
      </rPr>
      <t xml:space="preserve"> The 2016 opening balances reported in the 2016 report were preliminary and they changed following adjustments in the 2015 audit which was completed after the report was submitted to GiveWell. The table below shows both the reported (Col C) and final (Col B) balances. </t>
    </r>
  </si>
  <si>
    <r>
      <rPr>
        <vertAlign val="superscript"/>
        <sz val="10"/>
        <color rgb="FF000000"/>
        <rFont val="Calibri"/>
        <family val="2"/>
      </rPr>
      <t>1</t>
    </r>
    <r>
      <rPr>
        <sz val="10"/>
        <color rgb="FF000000"/>
        <rFont val="Calibri"/>
      </rPr>
      <t xml:space="preserve"> Management adjustments arise from the reconciliation process to align donor balances</t>
    </r>
  </si>
  <si>
    <r>
      <rPr>
        <vertAlign val="superscript"/>
        <sz val="10"/>
        <color rgb="FF000000"/>
        <rFont val="Calibri"/>
        <family val="2"/>
      </rPr>
      <t>4</t>
    </r>
    <r>
      <rPr>
        <sz val="10"/>
        <color rgb="FF000000"/>
        <rFont val="Calibri"/>
      </rPr>
      <t xml:space="preserve"> Internal transfers indicate where unrestricted funds have been designated by management to a program to support that program's costs.</t>
    </r>
  </si>
  <si>
    <r>
      <t>Allocation for Supporting Services</t>
    </r>
    <r>
      <rPr>
        <vertAlign val="superscript"/>
        <sz val="9"/>
        <color rgb="FF000000"/>
        <rFont val="Calibri"/>
        <family val="2"/>
      </rPr>
      <t>2</t>
    </r>
  </si>
  <si>
    <r>
      <t>Management Adjustment</t>
    </r>
    <r>
      <rPr>
        <vertAlign val="superscript"/>
        <sz val="9"/>
        <color rgb="FF000000"/>
        <rFont val="Calibri"/>
        <family val="2"/>
      </rPr>
      <t>1</t>
    </r>
  </si>
  <si>
    <r>
      <t>Internal Transfers</t>
    </r>
    <r>
      <rPr>
        <vertAlign val="superscript"/>
        <sz val="9"/>
        <color rgb="FF000000"/>
        <rFont val="Calibri"/>
        <family val="2"/>
      </rPr>
      <t>4</t>
    </r>
  </si>
  <si>
    <r>
      <t>Beta sub total</t>
    </r>
    <r>
      <rPr>
        <i/>
        <vertAlign val="superscript"/>
        <sz val="9"/>
        <color rgb="FF000000"/>
        <rFont val="Calibri"/>
        <family val="2"/>
      </rPr>
      <t>1</t>
    </r>
  </si>
  <si>
    <r>
      <t>Dispensers for Safe Water</t>
    </r>
    <r>
      <rPr>
        <vertAlign val="superscript"/>
        <sz val="9"/>
        <color rgb="FF000000"/>
        <rFont val="Calibri"/>
        <family val="2"/>
      </rPr>
      <t>2</t>
    </r>
  </si>
  <si>
    <r>
      <t>Evidence Action - restricted</t>
    </r>
    <r>
      <rPr>
        <vertAlign val="superscript"/>
        <sz val="9"/>
        <color rgb="FF000000"/>
        <rFont val="Calibri"/>
        <family val="2"/>
      </rPr>
      <t>3</t>
    </r>
  </si>
  <si>
    <r>
      <t>Allocation for Supporting Services</t>
    </r>
    <r>
      <rPr>
        <vertAlign val="superscript"/>
        <sz val="9"/>
        <color rgb="FF000000"/>
        <rFont val="Calibri"/>
        <family val="2"/>
      </rPr>
      <t>4</t>
    </r>
  </si>
  <si>
    <r>
      <rPr>
        <vertAlign val="superscript"/>
        <sz val="10"/>
        <rFont val="Calibri"/>
        <family val="2"/>
      </rPr>
      <t>1</t>
    </r>
    <r>
      <rPr>
        <sz val="10"/>
        <rFont val="Calibri"/>
      </rPr>
      <t>Efforts to raise fresh funds for Beta to cover both the deficit and secure ongoing operating budget are in process. Unrestricted funds have been earmarked to cover this Beta and the G-United deficits should the fundraising not be forthcoming.</t>
    </r>
  </si>
  <si>
    <r>
      <rPr>
        <vertAlign val="superscript"/>
        <sz val="10"/>
        <color rgb="FF000000"/>
        <rFont val="Calibri"/>
        <family val="2"/>
      </rPr>
      <t>2</t>
    </r>
    <r>
      <rPr>
        <sz val="10"/>
        <color rgb="FF000000"/>
        <rFont val="Calibri"/>
      </rPr>
      <t>DSW received loans to fund the up-front cost of dispenser installations. Once installed, dispensers generate carbon credits because they avert carbon emissions. DSW sells these credits on the carbon market and uses the funds to repay loans and cover future operating costs. As of June 30, 2017, DSW held $3.25 million in outstanding loans from external funding sources. As this loan is a liabilty, this liability has been set off against the other grant balances in this table and results in a negative closing balance for DSW. Evidence Action is actively engaging the lenders to restructure the loans through forgiveness or conversion to a grant. If this succeeds, the liabilities will reverse</t>
    </r>
  </si>
  <si>
    <r>
      <rPr>
        <vertAlign val="superscript"/>
        <sz val="10"/>
        <color rgb="FF000000"/>
        <rFont val="Calibri"/>
        <family val="2"/>
      </rPr>
      <t>3</t>
    </r>
    <r>
      <rPr>
        <sz val="10"/>
        <color rgb="FF000000"/>
        <rFont val="Calibri"/>
      </rPr>
      <t>The Evidence Action restricted grant is the Strengthening Operations Investment Grant received from GiveWell in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</si>
</sst>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Red]\-&quot;$&quot;#,##0"/>
    <numFmt numFmtId="165" formatCode="_(&quot;$&quot;* #,##0_);_(&quot;$&quot;* \(#,##0\);_(&quot;$&quot;* &quot;-&quot;??_);_(@_)"/>
  </numFmts>
  <fonts count="27">
    <font>
      <sz val="11"/>
      <color rgb="FF000000"/>
      <name val="Calibri"/>
    </font>
    <font>
      <b/>
      <sz val="14"/>
      <color rgb="FFE8E5E2"/>
      <name val="Calibri"/>
    </font>
    <font>
      <sz val="11"/>
      <name val="Calibri"/>
    </font>
    <font>
      <sz val="10"/>
      <color rgb="FF000000"/>
      <name val="Calibri"/>
    </font>
    <font>
      <b/>
      <sz val="9"/>
      <color rgb="FF000000"/>
      <name val="Tahoma"/>
    </font>
    <font>
      <sz val="9"/>
      <color rgb="FF000000"/>
      <name val="Tahoma"/>
    </font>
    <font>
      <b/>
      <sz val="9"/>
      <color rgb="FF000000"/>
      <name val="Arial"/>
    </font>
    <font>
      <sz val="8"/>
      <color rgb="FF000000"/>
      <name val="Tahoma"/>
    </font>
    <font>
      <sz val="11"/>
      <color rgb="FFFF0000"/>
      <name val="Calibri"/>
    </font>
    <font>
      <sz val="9"/>
      <color rgb="FF000000"/>
      <name val="Calibri"/>
    </font>
    <font>
      <b/>
      <sz val="11"/>
      <color rgb="FF000000"/>
      <name val="Calibri"/>
    </font>
    <font>
      <i/>
      <sz val="9"/>
      <color rgb="FF000000"/>
      <name val="Calibri"/>
    </font>
    <font>
      <i/>
      <sz val="11"/>
      <color rgb="FF000000"/>
      <name val="Calibri"/>
    </font>
    <font>
      <b/>
      <sz val="9"/>
      <color rgb="FF000000"/>
      <name val="Calibri"/>
    </font>
    <font>
      <vertAlign val="superscript"/>
      <sz val="10"/>
      <color rgb="FF000000"/>
      <name val="Calibri"/>
    </font>
    <font>
      <sz val="9"/>
      <name val="Calibri"/>
    </font>
    <font>
      <i/>
      <sz val="9"/>
      <name val="Calibri"/>
    </font>
    <font>
      <b/>
      <sz val="9"/>
      <name val="Calibri"/>
    </font>
    <font>
      <sz val="10"/>
      <name val="Calibri"/>
    </font>
    <font>
      <vertAlign val="superscript"/>
      <sz val="9"/>
      <color rgb="FF000000"/>
      <name val="Calibri"/>
      <family val="2"/>
    </font>
    <font>
      <sz val="9"/>
      <color rgb="FF000000"/>
      <name val="Calibri"/>
      <family val="2"/>
    </font>
    <font>
      <vertAlign val="superscript"/>
      <sz val="10"/>
      <color rgb="FF000000"/>
      <name val="Calibri"/>
      <family val="2"/>
    </font>
    <font>
      <sz val="10"/>
      <color rgb="FF000000"/>
      <name val="Calibri"/>
      <family val="2"/>
    </font>
    <font>
      <i/>
      <vertAlign val="superscript"/>
      <sz val="9"/>
      <color rgb="FF000000"/>
      <name val="Calibri"/>
      <family val="2"/>
    </font>
    <font>
      <i/>
      <sz val="9"/>
      <color rgb="FF000000"/>
      <name val="Calibri"/>
      <family val="2"/>
    </font>
    <font>
      <vertAlign val="superscript"/>
      <sz val="10"/>
      <name val="Calibri"/>
      <family val="2"/>
    </font>
    <font>
      <sz val="10"/>
      <name val="Calibri"/>
      <family val="2"/>
    </font>
  </fonts>
  <fills count="7">
    <fill>
      <patternFill patternType="none"/>
    </fill>
    <fill>
      <patternFill patternType="gray125"/>
    </fill>
    <fill>
      <patternFill patternType="solid">
        <fgColor rgb="FF5E5F5F"/>
        <bgColor rgb="FF5E5F5F"/>
      </patternFill>
    </fill>
    <fill>
      <patternFill patternType="solid">
        <fgColor rgb="FFCECCCD"/>
        <bgColor rgb="FFCECCCD"/>
      </patternFill>
    </fill>
    <fill>
      <patternFill patternType="solid">
        <fgColor rgb="FF9CC2E5"/>
        <bgColor rgb="FF9CC2E5"/>
      </patternFill>
    </fill>
    <fill>
      <patternFill patternType="solid">
        <fgColor rgb="FFBDD6EE"/>
        <bgColor rgb="FFBDD6EE"/>
      </patternFill>
    </fill>
    <fill>
      <patternFill patternType="solid">
        <fgColor rgb="FFFFFFFF"/>
        <bgColor rgb="FFFFFFFF"/>
      </patternFill>
    </fill>
  </fills>
  <borders count="42">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top/>
      <bottom style="medium">
        <color rgb="FF000000"/>
      </bottom>
      <diagonal/>
    </border>
    <border>
      <left style="hair">
        <color rgb="FF000000"/>
      </left>
      <right style="hair">
        <color rgb="FF000000"/>
      </right>
      <top style="medium">
        <color rgb="FF000000"/>
      </top>
      <bottom style="hair">
        <color rgb="FF000000"/>
      </bottom>
      <diagonal/>
    </border>
    <border>
      <left/>
      <right/>
      <top/>
      <bottom style="medium">
        <color rgb="FF000000"/>
      </bottom>
      <diagonal/>
    </border>
    <border>
      <left/>
      <right style="medium">
        <color rgb="FF000000"/>
      </right>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medium">
        <color rgb="FF000000"/>
      </right>
      <top style="thin">
        <color rgb="FF000000"/>
      </top>
      <bottom style="hair">
        <color rgb="FF000000"/>
      </bottom>
      <diagonal/>
    </border>
    <border>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medium">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hair">
        <color rgb="FF000000"/>
      </left>
      <right style="hair">
        <color rgb="FF000000"/>
      </right>
      <top style="hair">
        <color rgb="FF000000"/>
      </top>
      <bottom/>
      <diagonal/>
    </border>
    <border>
      <left style="medium">
        <color rgb="FF000000"/>
      </left>
      <right style="medium">
        <color rgb="FF000000"/>
      </right>
      <top style="thin">
        <color rgb="FF000000"/>
      </top>
      <bottom style="hair">
        <color rgb="FF000000"/>
      </bottom>
      <diagonal/>
    </border>
    <border>
      <left style="medium">
        <color rgb="FF000000"/>
      </left>
      <right style="medium">
        <color rgb="FF000000"/>
      </right>
      <top/>
      <bottom style="hair">
        <color rgb="FF000000"/>
      </bottom>
      <diagonal/>
    </border>
    <border>
      <left style="medium">
        <color rgb="FF000000"/>
      </left>
      <right style="medium">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medium">
        <color rgb="FF000000"/>
      </right>
      <top style="hair">
        <color rgb="FF000000"/>
      </top>
      <bottom style="thin">
        <color indexed="64"/>
      </bottom>
      <diagonal/>
    </border>
  </borders>
  <cellStyleXfs count="1">
    <xf numFmtId="0" fontId="0" fillId="0" borderId="0"/>
  </cellStyleXfs>
  <cellXfs count="83">
    <xf numFmtId="0" fontId="0" fillId="0" borderId="0" xfId="0" applyFont="1" applyAlignment="1"/>
    <xf numFmtId="0" fontId="3" fillId="3" borderId="4" xfId="0" applyFont="1" applyFill="1" applyBorder="1" applyAlignment="1">
      <alignment horizontal="center" vertical="center" wrapText="1"/>
    </xf>
    <xf numFmtId="0" fontId="4" fillId="5" borderId="8" xfId="0" applyFont="1" applyFill="1" applyBorder="1" applyAlignment="1">
      <alignment horizontal="left"/>
    </xf>
    <xf numFmtId="0" fontId="4" fillId="5" borderId="9" xfId="0" applyFont="1" applyFill="1" applyBorder="1" applyAlignment="1">
      <alignment horizontal="left"/>
    </xf>
    <xf numFmtId="0" fontId="4" fillId="5" borderId="10" xfId="0" applyFont="1" applyFill="1" applyBorder="1" applyAlignment="1">
      <alignment horizontal="left"/>
    </xf>
    <xf numFmtId="0" fontId="5" fillId="0" borderId="11" xfId="0" applyFont="1" applyBorder="1"/>
    <xf numFmtId="165" fontId="5" fillId="0" borderId="0" xfId="0" applyNumberFormat="1" applyFont="1"/>
    <xf numFmtId="0" fontId="5" fillId="0" borderId="12" xfId="0" applyFont="1" applyBorder="1" applyAlignment="1"/>
    <xf numFmtId="0" fontId="5" fillId="0" borderId="12" xfId="0" applyFont="1" applyBorder="1"/>
    <xf numFmtId="0" fontId="6" fillId="4" borderId="13" xfId="0" applyFont="1" applyFill="1" applyBorder="1" applyAlignment="1">
      <alignment wrapText="1"/>
    </xf>
    <xf numFmtId="164" fontId="6" fillId="4" borderId="14" xfId="0" applyNumberFormat="1" applyFont="1" applyFill="1" applyBorder="1" applyAlignment="1">
      <alignment horizontal="right" wrapText="1"/>
    </xf>
    <xf numFmtId="0" fontId="5" fillId="4" borderId="15" xfId="0" applyFont="1" applyFill="1" applyBorder="1"/>
    <xf numFmtId="0" fontId="6" fillId="0" borderId="0" xfId="0" applyFont="1" applyAlignment="1">
      <alignment wrapText="1"/>
    </xf>
    <xf numFmtId="164" fontId="6" fillId="0" borderId="0" xfId="0" applyNumberFormat="1" applyFont="1" applyAlignment="1">
      <alignment horizontal="right" wrapText="1"/>
    </xf>
    <xf numFmtId="0" fontId="7" fillId="0" borderId="0" xfId="0" applyFont="1"/>
    <xf numFmtId="0" fontId="8" fillId="0" borderId="0" xfId="0" applyFont="1"/>
    <xf numFmtId="0" fontId="0" fillId="0" borderId="0" xfId="0" applyFont="1" applyAlignment="1">
      <alignment vertical="center"/>
    </xf>
    <xf numFmtId="0" fontId="5" fillId="0" borderId="11" xfId="0" applyFont="1" applyBorder="1" applyAlignment="1">
      <alignment vertical="center"/>
    </xf>
    <xf numFmtId="165" fontId="5" fillId="0" borderId="0" xfId="0" applyNumberFormat="1" applyFont="1" applyAlignment="1">
      <alignment vertical="center"/>
    </xf>
    <xf numFmtId="0" fontId="5" fillId="0" borderId="12" xfId="0" applyFont="1" applyBorder="1" applyAlignment="1">
      <alignment vertical="center" wrapText="1"/>
    </xf>
    <xf numFmtId="0" fontId="7" fillId="0" borderId="12" xfId="0" applyFont="1" applyBorder="1"/>
    <xf numFmtId="0" fontId="0" fillId="0" borderId="0" xfId="0" applyFont="1" applyAlignment="1"/>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6" borderId="19" xfId="0" applyFont="1" applyFill="1" applyBorder="1" applyAlignment="1">
      <alignment wrapText="1"/>
    </xf>
    <xf numFmtId="0" fontId="5" fillId="0" borderId="20" xfId="0" applyFont="1" applyBorder="1"/>
    <xf numFmtId="165" fontId="9" fillId="6" borderId="21" xfId="0" applyNumberFormat="1" applyFont="1" applyFill="1" applyBorder="1" applyAlignment="1">
      <alignment horizontal="left"/>
    </xf>
    <xf numFmtId="165" fontId="5" fillId="0" borderId="22" xfId="0" applyNumberFormat="1" applyFont="1" applyBorder="1"/>
    <xf numFmtId="0" fontId="5" fillId="0" borderId="23" xfId="0" applyFont="1" applyBorder="1"/>
    <xf numFmtId="165" fontId="9" fillId="6" borderId="24" xfId="0" applyNumberFormat="1" applyFont="1" applyFill="1" applyBorder="1" applyAlignment="1">
      <alignment horizontal="left"/>
    </xf>
    <xf numFmtId="0" fontId="5" fillId="0" borderId="12" xfId="0" applyFont="1" applyBorder="1" applyAlignment="1">
      <alignment wrapText="1"/>
    </xf>
    <xf numFmtId="165" fontId="9" fillId="6" borderId="25" xfId="0" applyNumberFormat="1" applyFont="1" applyFill="1" applyBorder="1" applyAlignment="1">
      <alignment horizontal="left"/>
    </xf>
    <xf numFmtId="0" fontId="9" fillId="0" borderId="0" xfId="0" applyFont="1"/>
    <xf numFmtId="0" fontId="10" fillId="0" borderId="0" xfId="0" applyFont="1"/>
    <xf numFmtId="165" fontId="9" fillId="6" borderId="26" xfId="0" applyNumberFormat="1" applyFont="1" applyFill="1" applyBorder="1" applyAlignment="1">
      <alignment horizontal="left"/>
    </xf>
    <xf numFmtId="165" fontId="0" fillId="0" borderId="0" xfId="0" applyNumberFormat="1" applyFont="1"/>
    <xf numFmtId="0" fontId="9" fillId="6" borderId="27" xfId="0" applyFont="1" applyFill="1" applyBorder="1" applyAlignment="1">
      <alignment wrapText="1"/>
    </xf>
    <xf numFmtId="0" fontId="11" fillId="6" borderId="27" xfId="0" applyFont="1" applyFill="1" applyBorder="1" applyAlignment="1">
      <alignment wrapText="1"/>
    </xf>
    <xf numFmtId="165" fontId="11" fillId="6" borderId="28" xfId="0" applyNumberFormat="1" applyFont="1" applyFill="1" applyBorder="1" applyAlignment="1">
      <alignment horizontal="left"/>
    </xf>
    <xf numFmtId="165" fontId="11" fillId="6" borderId="29" xfId="0" applyNumberFormat="1" applyFont="1" applyFill="1" applyBorder="1" applyAlignment="1">
      <alignment horizontal="left"/>
    </xf>
    <xf numFmtId="165" fontId="11" fillId="6" borderId="30" xfId="0" applyNumberFormat="1" applyFont="1" applyFill="1" applyBorder="1" applyAlignment="1">
      <alignment horizontal="left"/>
    </xf>
    <xf numFmtId="10" fontId="0" fillId="0" borderId="0" xfId="0" applyNumberFormat="1" applyFont="1"/>
    <xf numFmtId="0" fontId="12" fillId="0" borderId="0" xfId="0" applyFont="1"/>
    <xf numFmtId="165" fontId="11" fillId="6" borderId="31" xfId="0" applyNumberFormat="1" applyFont="1" applyFill="1" applyBorder="1" applyAlignment="1">
      <alignment horizontal="left"/>
    </xf>
    <xf numFmtId="165" fontId="11" fillId="6" borderId="24" xfId="0" applyNumberFormat="1" applyFont="1" applyFill="1" applyBorder="1" applyAlignment="1">
      <alignment horizontal="left"/>
    </xf>
    <xf numFmtId="165" fontId="11" fillId="6" borderId="32" xfId="0" applyNumberFormat="1" applyFont="1" applyFill="1" applyBorder="1" applyAlignment="1">
      <alignment horizontal="left"/>
    </xf>
    <xf numFmtId="165" fontId="9" fillId="0" borderId="25" xfId="0" applyNumberFormat="1" applyFont="1" applyBorder="1" applyAlignment="1">
      <alignment horizontal="left"/>
    </xf>
    <xf numFmtId="0" fontId="0" fillId="0" borderId="0" xfId="0" applyFont="1" applyAlignment="1">
      <alignment wrapText="1"/>
    </xf>
    <xf numFmtId="0" fontId="13" fillId="6" borderId="33" xfId="0" applyFont="1" applyFill="1" applyBorder="1" applyAlignment="1">
      <alignment wrapText="1"/>
    </xf>
    <xf numFmtId="165" fontId="13" fillId="6" borderId="34" xfId="0" applyNumberFormat="1" applyFont="1" applyFill="1" applyBorder="1" applyAlignment="1">
      <alignment horizontal="left"/>
    </xf>
    <xf numFmtId="165" fontId="13" fillId="6" borderId="35" xfId="0" applyNumberFormat="1" applyFont="1" applyFill="1" applyBorder="1" applyAlignment="1">
      <alignment horizontal="left"/>
    </xf>
    <xf numFmtId="0" fontId="3" fillId="0" borderId="0" xfId="0" applyFont="1"/>
    <xf numFmtId="0" fontId="9" fillId="6" borderId="19" xfId="0" applyFont="1" applyFill="1" applyBorder="1" applyAlignment="1">
      <alignment wrapText="1"/>
    </xf>
    <xf numFmtId="165" fontId="9" fillId="6" borderId="36" xfId="0" applyNumberFormat="1" applyFont="1" applyFill="1" applyBorder="1" applyAlignment="1">
      <alignment horizontal="left"/>
    </xf>
    <xf numFmtId="0" fontId="15" fillId="3" borderId="4" xfId="0" applyFont="1" applyFill="1" applyBorder="1" applyAlignment="1">
      <alignment horizontal="center" vertical="center" wrapText="1"/>
    </xf>
    <xf numFmtId="165" fontId="15" fillId="6" borderId="27" xfId="0" applyNumberFormat="1" applyFont="1" applyFill="1" applyBorder="1" applyAlignment="1">
      <alignment horizontal="left"/>
    </xf>
    <xf numFmtId="165" fontId="16" fillId="6" borderId="37" xfId="0" applyNumberFormat="1" applyFont="1" applyFill="1" applyBorder="1" applyAlignment="1">
      <alignment horizontal="left"/>
    </xf>
    <xf numFmtId="165" fontId="16" fillId="6" borderId="38" xfId="0" applyNumberFormat="1" applyFont="1" applyFill="1" applyBorder="1" applyAlignment="1">
      <alignment horizontal="left"/>
    </xf>
    <xf numFmtId="165" fontId="17" fillId="6" borderId="33" xfId="0" applyNumberFormat="1" applyFont="1" applyFill="1" applyBorder="1" applyAlignment="1">
      <alignment horizontal="left"/>
    </xf>
    <xf numFmtId="0" fontId="20" fillId="3" borderId="16" xfId="0" applyFont="1" applyFill="1" applyBorder="1" applyAlignment="1">
      <alignment horizontal="center" vertical="center" wrapText="1"/>
    </xf>
    <xf numFmtId="0" fontId="22" fillId="0" borderId="0" xfId="0" applyFont="1"/>
    <xf numFmtId="0" fontId="20" fillId="3" borderId="17" xfId="0" applyFont="1" applyFill="1" applyBorder="1" applyAlignment="1">
      <alignment horizontal="center" vertical="center" wrapText="1"/>
    </xf>
    <xf numFmtId="0" fontId="9" fillId="6" borderId="39" xfId="0" applyFont="1" applyFill="1" applyBorder="1" applyAlignment="1">
      <alignment wrapText="1"/>
    </xf>
    <xf numFmtId="165" fontId="9" fillId="6" borderId="40" xfId="0" applyNumberFormat="1" applyFont="1" applyFill="1" applyBorder="1" applyAlignment="1">
      <alignment horizontal="left"/>
    </xf>
    <xf numFmtId="165" fontId="9" fillId="6" borderId="41" xfId="0" applyNumberFormat="1" applyFont="1" applyFill="1" applyBorder="1" applyAlignment="1">
      <alignment horizontal="left"/>
    </xf>
    <xf numFmtId="165" fontId="15" fillId="0" borderId="39" xfId="0" applyNumberFormat="1" applyFont="1" applyBorder="1" applyAlignment="1">
      <alignment horizontal="left"/>
    </xf>
    <xf numFmtId="0" fontId="24" fillId="6" borderId="27" xfId="0" applyFont="1" applyFill="1" applyBorder="1" applyAlignment="1">
      <alignment wrapText="1"/>
    </xf>
    <xf numFmtId="0" fontId="20" fillId="6" borderId="27" xfId="0" applyFont="1" applyFill="1" applyBorder="1" applyAlignment="1">
      <alignment wrapText="1"/>
    </xf>
    <xf numFmtId="0" fontId="13" fillId="6" borderId="9" xfId="0" applyFont="1" applyFill="1" applyBorder="1" applyAlignment="1">
      <alignment wrapText="1"/>
    </xf>
    <xf numFmtId="165" fontId="13" fillId="6" borderId="9" xfId="0" applyNumberFormat="1" applyFont="1" applyFill="1" applyBorder="1" applyAlignment="1">
      <alignment horizontal="left"/>
    </xf>
    <xf numFmtId="165" fontId="17" fillId="6" borderId="9" xfId="0" applyNumberFormat="1" applyFont="1" applyFill="1" applyBorder="1" applyAlignment="1">
      <alignment horizontal="left"/>
    </xf>
    <xf numFmtId="0" fontId="14" fillId="0" borderId="0" xfId="0" applyFont="1" applyAlignment="1">
      <alignment horizontal="left" vertical="center" wrapText="1"/>
    </xf>
    <xf numFmtId="0" fontId="0" fillId="0" borderId="0" xfId="0" applyFont="1" applyAlignme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22" fillId="0" borderId="0" xfId="0" applyFont="1" applyAlignment="1">
      <alignment horizontal="left" vertical="center" wrapText="1"/>
    </xf>
    <xf numFmtId="0" fontId="26" fillId="0" borderId="0" xfId="0" applyFont="1" applyAlignment="1">
      <alignment horizontal="left" vertical="center" wrapText="1"/>
    </xf>
    <xf numFmtId="0" fontId="4" fillId="4" borderId="5" xfId="0" applyFont="1" applyFill="1" applyBorder="1" applyAlignment="1">
      <alignment horizontal="center"/>
    </xf>
    <xf numFmtId="0" fontId="2" fillId="0" borderId="6" xfId="0" applyFont="1" applyBorder="1"/>
    <xf numFmtId="0" fontId="2" fillId="0" borderId="7" xfId="0" applyFont="1" applyBorder="1"/>
    <xf numFmtId="0" fontId="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59"/>
  <sheetViews>
    <sheetView tabSelected="1" zoomScaleNormal="100" workbookViewId="0"/>
  </sheetViews>
  <sheetFormatPr defaultColWidth="14.42578125" defaultRowHeight="15" customHeight="1"/>
  <cols>
    <col min="1" max="1" width="39.140625" customWidth="1"/>
    <col min="2" max="7" width="12.85546875" customWidth="1"/>
    <col min="8" max="8" width="14.42578125" customWidth="1"/>
    <col min="9" max="9" width="14.7109375" customWidth="1"/>
    <col min="10" max="15" width="16.140625" customWidth="1"/>
    <col min="16" max="26" width="8.7109375" customWidth="1"/>
  </cols>
  <sheetData>
    <row r="2" spans="1:26" ht="18.75">
      <c r="A2" s="74" t="s">
        <v>0</v>
      </c>
      <c r="B2" s="75"/>
      <c r="C2" s="75"/>
      <c r="D2" s="75"/>
      <c r="E2" s="75"/>
      <c r="F2" s="75"/>
      <c r="G2" s="75"/>
      <c r="H2" s="75"/>
      <c r="I2" s="76"/>
    </row>
    <row r="3" spans="1:26" ht="38.25">
      <c r="A3" s="1"/>
      <c r="B3" s="60" t="s">
        <v>59</v>
      </c>
      <c r="C3" s="23" t="s">
        <v>18</v>
      </c>
      <c r="D3" s="23" t="s">
        <v>19</v>
      </c>
      <c r="E3" s="62" t="s">
        <v>63</v>
      </c>
      <c r="F3" s="23" t="s">
        <v>21</v>
      </c>
      <c r="G3" s="62" t="s">
        <v>64</v>
      </c>
      <c r="H3" s="62" t="s">
        <v>65</v>
      </c>
      <c r="I3" s="24" t="s">
        <v>23</v>
      </c>
    </row>
    <row r="4" spans="1:26">
      <c r="A4" s="25" t="s">
        <v>24</v>
      </c>
      <c r="B4" s="27">
        <f>-36913+265529</f>
        <v>228616</v>
      </c>
      <c r="C4" s="27">
        <f>939035+230426</f>
        <v>1169461</v>
      </c>
      <c r="D4" s="30">
        <f>1110123+111954</f>
        <v>1222077</v>
      </c>
      <c r="E4" s="30">
        <f>182380+20084</f>
        <v>202464</v>
      </c>
      <c r="F4" s="32">
        <f t="shared" ref="F4:F6" si="0">+D4+E4</f>
        <v>1424541</v>
      </c>
      <c r="G4" s="30">
        <f>-14081.181022467+6537</f>
        <v>-7544.1810224670007</v>
      </c>
      <c r="H4" s="30"/>
      <c r="I4" s="35">
        <f t="shared" ref="I4:I6" si="1">(B4+C4-F4+G4+H4)</f>
        <v>-34008.181022467004</v>
      </c>
      <c r="J4" s="36"/>
    </row>
    <row r="5" spans="1:26">
      <c r="A5" s="37" t="s">
        <v>40</v>
      </c>
      <c r="B5" s="32">
        <v>218153</v>
      </c>
      <c r="C5" s="32">
        <v>50000</v>
      </c>
      <c r="D5" s="32">
        <v>313755</v>
      </c>
      <c r="E5" s="32">
        <v>53232</v>
      </c>
      <c r="F5" s="32">
        <f t="shared" si="0"/>
        <v>366987</v>
      </c>
      <c r="G5" s="30">
        <v>4.961603767980705</v>
      </c>
      <c r="H5" s="32"/>
      <c r="I5" s="35">
        <f t="shared" si="1"/>
        <v>-98829.038396232019</v>
      </c>
      <c r="J5" s="36"/>
    </row>
    <row r="6" spans="1:26">
      <c r="A6" s="37" t="s">
        <v>41</v>
      </c>
      <c r="B6" s="32">
        <v>0</v>
      </c>
      <c r="C6" s="32">
        <v>2491851</v>
      </c>
      <c r="D6" s="32">
        <v>760755</v>
      </c>
      <c r="E6" s="32">
        <v>136477</v>
      </c>
      <c r="F6" s="32">
        <f t="shared" si="0"/>
        <v>897232</v>
      </c>
      <c r="G6" s="30">
        <v>7594</v>
      </c>
      <c r="H6" s="32"/>
      <c r="I6" s="35">
        <f t="shared" si="1"/>
        <v>1602213</v>
      </c>
      <c r="J6" s="36"/>
    </row>
    <row r="7" spans="1:26">
      <c r="A7" s="38" t="s">
        <v>42</v>
      </c>
      <c r="B7" s="39">
        <f t="shared" ref="B7:I7" si="2">SUBTOTAL(9,B4:B6)</f>
        <v>446769</v>
      </c>
      <c r="C7" s="40">
        <f t="shared" si="2"/>
        <v>3711312</v>
      </c>
      <c r="D7" s="40">
        <f t="shared" si="2"/>
        <v>2296587</v>
      </c>
      <c r="E7" s="40">
        <f t="shared" si="2"/>
        <v>392173</v>
      </c>
      <c r="F7" s="40">
        <f t="shared" si="2"/>
        <v>2688760</v>
      </c>
      <c r="G7" s="40">
        <f t="shared" si="2"/>
        <v>54.780581300979975</v>
      </c>
      <c r="H7" s="40">
        <f t="shared" si="2"/>
        <v>0</v>
      </c>
      <c r="I7" s="41">
        <f t="shared" si="2"/>
        <v>1469375.7805813011</v>
      </c>
      <c r="J7" s="42"/>
      <c r="K7" s="43"/>
      <c r="L7" s="43"/>
      <c r="M7" s="43"/>
      <c r="N7" s="43"/>
      <c r="O7" s="43"/>
      <c r="P7" s="43"/>
      <c r="Q7" s="43"/>
      <c r="R7" s="43"/>
      <c r="S7" s="43"/>
      <c r="T7" s="43"/>
      <c r="U7" s="43"/>
      <c r="V7" s="43"/>
      <c r="W7" s="43"/>
      <c r="X7" s="43"/>
      <c r="Y7" s="43"/>
      <c r="Z7" s="43"/>
    </row>
    <row r="8" spans="1:26">
      <c r="A8" s="38"/>
      <c r="B8" s="44"/>
      <c r="C8" s="45"/>
      <c r="D8" s="45"/>
      <c r="E8" s="45"/>
      <c r="F8" s="45"/>
      <c r="G8" s="45"/>
      <c r="H8" s="45"/>
      <c r="I8" s="46"/>
      <c r="J8" s="43"/>
      <c r="K8" s="43"/>
      <c r="L8" s="43"/>
      <c r="M8" s="43"/>
      <c r="N8" s="43"/>
      <c r="O8" s="43"/>
      <c r="P8" s="43"/>
      <c r="Q8" s="43"/>
      <c r="R8" s="43"/>
      <c r="S8" s="43"/>
      <c r="T8" s="43"/>
      <c r="U8" s="43"/>
      <c r="V8" s="43"/>
      <c r="W8" s="43"/>
      <c r="X8" s="43"/>
      <c r="Y8" s="43"/>
      <c r="Z8" s="43"/>
    </row>
    <row r="9" spans="1:26">
      <c r="A9" s="37" t="s">
        <v>43</v>
      </c>
      <c r="B9" s="32">
        <v>8196157</v>
      </c>
      <c r="C9" s="32">
        <v>18049376.329999998</v>
      </c>
      <c r="D9" s="32">
        <v>6935392.8899999997</v>
      </c>
      <c r="E9" s="32">
        <v>1093936</v>
      </c>
      <c r="F9" s="32">
        <f t="shared" ref="F9:F12" si="3">+D9+E9</f>
        <v>8029328.8899999997</v>
      </c>
      <c r="G9" s="30">
        <v>1017.8861148618162</v>
      </c>
      <c r="H9" s="32"/>
      <c r="I9" s="35">
        <f t="shared" ref="I9:I12" si="4">(B9+C9-F9+G9+H9)</f>
        <v>18217222.326114859</v>
      </c>
      <c r="J9" s="42"/>
    </row>
    <row r="10" spans="1:26" ht="15" customHeight="1">
      <c r="A10" s="37" t="s">
        <v>44</v>
      </c>
      <c r="B10" s="32">
        <v>-2410027</v>
      </c>
      <c r="C10" s="32">
        <v>2202631</v>
      </c>
      <c r="D10" s="32">
        <v>4029051</v>
      </c>
      <c r="E10" s="32">
        <v>699246</v>
      </c>
      <c r="F10" s="32">
        <f t="shared" si="3"/>
        <v>4728297</v>
      </c>
      <c r="G10" s="30">
        <v>-311.99091979116201</v>
      </c>
      <c r="H10" s="47">
        <f>1525000-500000</f>
        <v>1025000</v>
      </c>
      <c r="I10" s="35">
        <f t="shared" si="4"/>
        <v>-3911004.9909197912</v>
      </c>
      <c r="J10" s="42"/>
      <c r="K10" s="48"/>
      <c r="L10" s="48"/>
    </row>
    <row r="11" spans="1:26">
      <c r="A11" s="37" t="s">
        <v>45</v>
      </c>
      <c r="B11" s="32"/>
      <c r="C11" s="32">
        <v>0</v>
      </c>
      <c r="D11" s="32"/>
      <c r="E11" s="32"/>
      <c r="F11" s="32">
        <f t="shared" si="3"/>
        <v>0</v>
      </c>
      <c r="G11" s="30">
        <v>0</v>
      </c>
      <c r="H11" s="32"/>
      <c r="I11" s="35">
        <f t="shared" si="4"/>
        <v>0</v>
      </c>
    </row>
    <row r="12" spans="1:26">
      <c r="A12" s="63" t="s">
        <v>46</v>
      </c>
      <c r="B12" s="64">
        <v>1707398</v>
      </c>
      <c r="C12" s="64">
        <v>1322142.67</v>
      </c>
      <c r="D12" s="64">
        <v>2627496.11</v>
      </c>
      <c r="E12" s="64">
        <v>-2185355</v>
      </c>
      <c r="F12" s="64">
        <f t="shared" si="3"/>
        <v>442141.10999999987</v>
      </c>
      <c r="G12" s="64">
        <v>-761</v>
      </c>
      <c r="H12" s="64">
        <f>-H10</f>
        <v>-1025000</v>
      </c>
      <c r="I12" s="65">
        <f t="shared" si="4"/>
        <v>1561638.56</v>
      </c>
    </row>
    <row r="13" spans="1:26">
      <c r="A13" s="49" t="s">
        <v>16</v>
      </c>
      <c r="B13" s="50">
        <f t="shared" ref="B13:I13" si="5">SUBTOTAL(9,B4:B12)</f>
        <v>7940297</v>
      </c>
      <c r="C13" s="50">
        <f t="shared" si="5"/>
        <v>25285462</v>
      </c>
      <c r="D13" s="50">
        <f t="shared" si="5"/>
        <v>15888527</v>
      </c>
      <c r="E13" s="50">
        <f t="shared" si="5"/>
        <v>0</v>
      </c>
      <c r="F13" s="50">
        <f t="shared" si="5"/>
        <v>15888527</v>
      </c>
      <c r="G13" s="50">
        <f t="shared" si="5"/>
        <v>-0.32422362836587126</v>
      </c>
      <c r="H13" s="50">
        <f t="shared" si="5"/>
        <v>0</v>
      </c>
      <c r="I13" s="51">
        <f t="shared" si="5"/>
        <v>17337231.675776366</v>
      </c>
    </row>
    <row r="15" spans="1:26">
      <c r="A15" s="34" t="s">
        <v>47</v>
      </c>
    </row>
    <row r="16" spans="1:26" ht="15.75">
      <c r="A16" s="61" t="s">
        <v>61</v>
      </c>
      <c r="B16" s="52"/>
      <c r="C16" s="52"/>
      <c r="D16" s="52"/>
      <c r="E16" s="52"/>
      <c r="F16" s="52"/>
      <c r="G16" s="52"/>
      <c r="H16" s="52"/>
      <c r="I16" s="52"/>
    </row>
    <row r="17" spans="1:9" ht="15" customHeight="1">
      <c r="A17" s="72" t="s">
        <v>48</v>
      </c>
      <c r="B17" s="73"/>
      <c r="C17" s="73"/>
      <c r="D17" s="73"/>
      <c r="E17" s="73"/>
      <c r="F17" s="73"/>
      <c r="G17" s="73"/>
      <c r="H17" s="73"/>
      <c r="I17" s="73"/>
    </row>
    <row r="18" spans="1:9" ht="15" customHeight="1">
      <c r="A18" s="73"/>
      <c r="B18" s="73"/>
      <c r="C18" s="73"/>
      <c r="D18" s="73"/>
      <c r="E18" s="73"/>
      <c r="F18" s="73"/>
      <c r="G18" s="73"/>
      <c r="H18" s="73"/>
      <c r="I18" s="73"/>
    </row>
    <row r="19" spans="1:9" ht="15" customHeight="1">
      <c r="A19" s="77" t="s">
        <v>60</v>
      </c>
      <c r="B19" s="73"/>
      <c r="C19" s="73"/>
      <c r="D19" s="73"/>
      <c r="E19" s="73"/>
      <c r="F19" s="73"/>
      <c r="G19" s="73"/>
      <c r="H19" s="73"/>
      <c r="I19" s="73"/>
    </row>
    <row r="20" spans="1:9" ht="15" customHeight="1">
      <c r="A20" s="73"/>
      <c r="B20" s="73"/>
      <c r="C20" s="73"/>
      <c r="D20" s="73"/>
      <c r="E20" s="73"/>
      <c r="F20" s="73"/>
      <c r="G20" s="73"/>
      <c r="H20" s="73"/>
      <c r="I20" s="73"/>
    </row>
    <row r="21" spans="1:9" ht="15" customHeight="1">
      <c r="A21" s="77" t="s">
        <v>62</v>
      </c>
      <c r="B21" s="73"/>
      <c r="C21" s="73"/>
      <c r="D21" s="73"/>
      <c r="E21" s="73"/>
      <c r="F21" s="73"/>
      <c r="G21" s="73"/>
      <c r="H21" s="73"/>
      <c r="I21" s="73"/>
    </row>
    <row r="23" spans="1:9" ht="36">
      <c r="A23" s="1"/>
      <c r="B23" s="22" t="s">
        <v>49</v>
      </c>
      <c r="C23" s="24" t="s">
        <v>50</v>
      </c>
    </row>
    <row r="24" spans="1:9">
      <c r="A24" s="53" t="s">
        <v>51</v>
      </c>
      <c r="B24" s="27">
        <v>-36913</v>
      </c>
      <c r="C24" s="35">
        <v>161167</v>
      </c>
    </row>
    <row r="25" spans="1:9">
      <c r="A25" s="37" t="s">
        <v>40</v>
      </c>
      <c r="B25" s="32">
        <v>218153</v>
      </c>
      <c r="C25" s="35">
        <v>117328</v>
      </c>
    </row>
    <row r="26" spans="1:9">
      <c r="A26" s="37" t="s">
        <v>41</v>
      </c>
      <c r="B26" s="32">
        <v>0</v>
      </c>
      <c r="C26" s="35"/>
    </row>
    <row r="27" spans="1:9">
      <c r="A27" s="37" t="s">
        <v>52</v>
      </c>
      <c r="B27" s="54">
        <v>265529</v>
      </c>
      <c r="C27" s="35">
        <v>0</v>
      </c>
    </row>
    <row r="28" spans="1:9">
      <c r="A28" s="38" t="s">
        <v>42</v>
      </c>
      <c r="B28" s="39">
        <f t="shared" ref="B28:C28" si="6">SUBTOTAL(9,B24:B27)</f>
        <v>446769</v>
      </c>
      <c r="C28" s="41">
        <f t="shared" si="6"/>
        <v>278495</v>
      </c>
    </row>
    <row r="29" spans="1:9">
      <c r="A29" s="38"/>
      <c r="B29" s="44"/>
      <c r="C29" s="46"/>
    </row>
    <row r="30" spans="1:9">
      <c r="A30" s="37" t="s">
        <v>43</v>
      </c>
      <c r="B30" s="32">
        <v>8196157</v>
      </c>
      <c r="C30" s="35">
        <v>7583020</v>
      </c>
      <c r="D30" s="36"/>
    </row>
    <row r="31" spans="1:9">
      <c r="A31" s="37" t="s">
        <v>44</v>
      </c>
      <c r="B31" s="32">
        <v>-2410027</v>
      </c>
      <c r="C31" s="35">
        <v>-1859006</v>
      </c>
    </row>
    <row r="32" spans="1:9">
      <c r="A32" s="37" t="s">
        <v>45</v>
      </c>
      <c r="B32" s="32"/>
      <c r="C32" s="35"/>
    </row>
    <row r="33" spans="1:26">
      <c r="A33" s="37" t="s">
        <v>46</v>
      </c>
      <c r="B33" s="32">
        <v>1707398</v>
      </c>
      <c r="C33" s="35">
        <v>1857603</v>
      </c>
    </row>
    <row r="34" spans="1:26">
      <c r="A34" s="49" t="s">
        <v>16</v>
      </c>
      <c r="B34" s="50">
        <f t="shared" ref="B34:C34" si="7">SUBTOTAL(9,B24:B33)</f>
        <v>7940297</v>
      </c>
      <c r="C34" s="51">
        <f t="shared" si="7"/>
        <v>7860112</v>
      </c>
    </row>
    <row r="39" spans="1:26" ht="18.75">
      <c r="A39" s="74" t="s">
        <v>53</v>
      </c>
      <c r="B39" s="75"/>
      <c r="C39" s="75"/>
      <c r="D39" s="75"/>
      <c r="E39" s="75"/>
      <c r="F39" s="75"/>
      <c r="G39" s="75"/>
      <c r="H39" s="75"/>
      <c r="I39" s="76"/>
    </row>
    <row r="40" spans="1:26" ht="38.25">
      <c r="A40" s="1"/>
      <c r="B40" s="22" t="s">
        <v>54</v>
      </c>
      <c r="C40" s="23" t="s">
        <v>18</v>
      </c>
      <c r="D40" s="23" t="s">
        <v>19</v>
      </c>
      <c r="E40" s="62" t="s">
        <v>69</v>
      </c>
      <c r="F40" s="23" t="s">
        <v>21</v>
      </c>
      <c r="G40" s="23" t="s">
        <v>55</v>
      </c>
      <c r="H40" s="23" t="s">
        <v>56</v>
      </c>
      <c r="I40" s="55" t="s">
        <v>57</v>
      </c>
    </row>
    <row r="41" spans="1:26">
      <c r="A41" s="53" t="s">
        <v>51</v>
      </c>
      <c r="B41" s="27">
        <f>1469376.12-B42-B43</f>
        <v>-34008.181022467092</v>
      </c>
      <c r="C41" s="27">
        <f>3271061-C42-C43+148952</f>
        <v>798353</v>
      </c>
      <c r="D41" s="30">
        <f>1356923-SUM(D42:D43)</f>
        <v>389340</v>
      </c>
      <c r="E41" s="30">
        <f>219656-SUM(E42:E43)</f>
        <v>48650</v>
      </c>
      <c r="F41" s="32">
        <f t="shared" ref="F41:F43" si="8">SUM(D41:E41)</f>
        <v>437990</v>
      </c>
      <c r="G41" s="32"/>
      <c r="H41" s="32">
        <f t="shared" ref="H41:H43" si="9">B41+C41-F41+G41</f>
        <v>326354.81897753291</v>
      </c>
      <c r="I41" s="56">
        <v>0</v>
      </c>
    </row>
    <row r="42" spans="1:26">
      <c r="A42" s="37" t="s">
        <v>40</v>
      </c>
      <c r="B42" s="32">
        <v>-98829.038396232019</v>
      </c>
      <c r="C42" s="32">
        <v>0</v>
      </c>
      <c r="D42" s="32">
        <v>211230</v>
      </c>
      <c r="E42" s="32">
        <v>34863</v>
      </c>
      <c r="F42" s="32">
        <f t="shared" si="8"/>
        <v>246093</v>
      </c>
      <c r="G42" s="32"/>
      <c r="H42" s="32">
        <f t="shared" si="9"/>
        <v>-344922.038396232</v>
      </c>
      <c r="I42" s="56">
        <v>0</v>
      </c>
      <c r="J42" s="15"/>
    </row>
    <row r="43" spans="1:26">
      <c r="A43" s="37" t="s">
        <v>41</v>
      </c>
      <c r="B43" s="32">
        <v>1602213.3394186993</v>
      </c>
      <c r="C43" s="32">
        <v>2621660</v>
      </c>
      <c r="D43" s="32">
        <v>756353</v>
      </c>
      <c r="E43" s="32">
        <v>136143</v>
      </c>
      <c r="F43" s="32">
        <f t="shared" si="8"/>
        <v>892496</v>
      </c>
      <c r="G43" s="32"/>
      <c r="H43" s="32">
        <f t="shared" si="9"/>
        <v>3331377.339418699</v>
      </c>
      <c r="I43" s="56">
        <v>0</v>
      </c>
    </row>
    <row r="44" spans="1:26">
      <c r="A44" s="67" t="s">
        <v>66</v>
      </c>
      <c r="B44" s="39">
        <f t="shared" ref="B44:I44" si="10">SUBTOTAL(9,B41:B43)</f>
        <v>1469376.12</v>
      </c>
      <c r="C44" s="40">
        <f t="shared" si="10"/>
        <v>3420013</v>
      </c>
      <c r="D44" s="40">
        <f t="shared" si="10"/>
        <v>1356923</v>
      </c>
      <c r="E44" s="40">
        <f t="shared" si="10"/>
        <v>219656</v>
      </c>
      <c r="F44" s="40">
        <f t="shared" si="10"/>
        <v>1576579</v>
      </c>
      <c r="G44" s="40">
        <f t="shared" si="10"/>
        <v>0</v>
      </c>
      <c r="H44" s="40">
        <f t="shared" si="10"/>
        <v>3312810.12</v>
      </c>
      <c r="I44" s="57">
        <f t="shared" si="10"/>
        <v>0</v>
      </c>
      <c r="J44" s="43"/>
      <c r="K44" s="43"/>
      <c r="L44" s="43"/>
      <c r="M44" s="43"/>
      <c r="N44" s="43"/>
      <c r="O44" s="43"/>
      <c r="P44" s="43"/>
      <c r="Q44" s="43"/>
      <c r="R44" s="43"/>
      <c r="S44" s="43"/>
      <c r="T44" s="43"/>
      <c r="U44" s="43"/>
      <c r="V44" s="43"/>
      <c r="W44" s="43"/>
      <c r="X44" s="43"/>
      <c r="Y44" s="43"/>
      <c r="Z44" s="43"/>
    </row>
    <row r="45" spans="1:26">
      <c r="A45" s="38"/>
      <c r="B45" s="44"/>
      <c r="C45" s="45"/>
      <c r="D45" s="45"/>
      <c r="E45" s="45"/>
      <c r="F45" s="45"/>
      <c r="G45" s="45"/>
      <c r="H45" s="45"/>
      <c r="I45" s="58"/>
      <c r="J45" s="43"/>
      <c r="K45" s="43"/>
      <c r="L45" s="43"/>
      <c r="M45" s="43"/>
      <c r="N45" s="43"/>
      <c r="O45" s="43"/>
      <c r="P45" s="43"/>
      <c r="Q45" s="43"/>
      <c r="R45" s="43"/>
      <c r="S45" s="43"/>
      <c r="T45" s="43"/>
      <c r="U45" s="43"/>
      <c r="V45" s="43"/>
      <c r="W45" s="43"/>
      <c r="X45" s="43"/>
      <c r="Y45" s="43"/>
      <c r="Z45" s="43"/>
    </row>
    <row r="46" spans="1:26">
      <c r="A46" s="37" t="s">
        <v>43</v>
      </c>
      <c r="B46" s="32">
        <v>18217222.326114859</v>
      </c>
      <c r="C46" s="32">
        <v>7625406.8499999996</v>
      </c>
      <c r="D46" s="32">
        <f>4294921+148952</f>
        <v>4443873</v>
      </c>
      <c r="E46" s="32">
        <v>770160</v>
      </c>
      <c r="F46" s="32">
        <f t="shared" ref="F46:F49" si="11">SUM(D46:E46)</f>
        <v>5214033</v>
      </c>
      <c r="G46" s="32"/>
      <c r="H46" s="32">
        <f t="shared" ref="H46:H49" si="12">B46+C46-F46+G46</f>
        <v>20628596.176114857</v>
      </c>
      <c r="I46" s="56">
        <v>447190.49649543967</v>
      </c>
    </row>
    <row r="47" spans="1:26">
      <c r="A47" s="68" t="s">
        <v>67</v>
      </c>
      <c r="B47" s="32">
        <v>-3911004.9909197912</v>
      </c>
      <c r="C47" s="32">
        <f>3203442.26+51386</f>
        <v>3254828.26</v>
      </c>
      <c r="D47" s="32">
        <v>2035035</v>
      </c>
      <c r="E47" s="32">
        <v>363167</v>
      </c>
      <c r="F47" s="32">
        <f t="shared" si="11"/>
        <v>2398202</v>
      </c>
      <c r="G47" s="32">
        <v>375000</v>
      </c>
      <c r="H47" s="32">
        <f t="shared" si="12"/>
        <v>-2679378.7309197914</v>
      </c>
      <c r="I47" s="56">
        <v>0</v>
      </c>
    </row>
    <row r="48" spans="1:26">
      <c r="A48" s="68" t="s">
        <v>68</v>
      </c>
      <c r="B48" s="32"/>
      <c r="C48" s="32">
        <v>2642300</v>
      </c>
      <c r="D48" s="32">
        <v>72261</v>
      </c>
      <c r="E48" s="32"/>
      <c r="F48" s="32">
        <f t="shared" si="11"/>
        <v>72261</v>
      </c>
      <c r="G48" s="32"/>
      <c r="H48" s="32">
        <f t="shared" si="12"/>
        <v>2570039</v>
      </c>
      <c r="I48" s="56">
        <v>0</v>
      </c>
    </row>
    <row r="49" spans="1:9">
      <c r="A49" s="63" t="s">
        <v>46</v>
      </c>
      <c r="B49" s="64">
        <v>1561639</v>
      </c>
      <c r="C49" s="64">
        <v>463655.15999999974</v>
      </c>
      <c r="D49" s="64">
        <f>1487776-D48</f>
        <v>1415515</v>
      </c>
      <c r="E49" s="64">
        <f>-SUM(E44,E46,E47)</f>
        <v>-1352983</v>
      </c>
      <c r="F49" s="64">
        <f t="shared" si="11"/>
        <v>62532</v>
      </c>
      <c r="G49" s="64">
        <f>-G47</f>
        <v>-375000</v>
      </c>
      <c r="H49" s="64">
        <f t="shared" si="12"/>
        <v>1587762.1599999997</v>
      </c>
      <c r="I49" s="66">
        <f>'Unrestricted commitments'!C7</f>
        <v>837762.15999999968</v>
      </c>
    </row>
    <row r="50" spans="1:9">
      <c r="A50" s="49" t="s">
        <v>16</v>
      </c>
      <c r="B50" s="50">
        <f t="shared" ref="B50:I50" si="13">SUBTOTAL(9,B41:B49)</f>
        <v>17337232.455195069</v>
      </c>
      <c r="C50" s="50">
        <f t="shared" si="13"/>
        <v>17406203.27</v>
      </c>
      <c r="D50" s="50">
        <f t="shared" si="13"/>
        <v>9323607</v>
      </c>
      <c r="E50" s="50">
        <f t="shared" si="13"/>
        <v>0</v>
      </c>
      <c r="F50" s="50">
        <f t="shared" si="13"/>
        <v>9323607</v>
      </c>
      <c r="G50" s="50">
        <f t="shared" si="13"/>
        <v>0</v>
      </c>
      <c r="H50" s="50">
        <f t="shared" si="13"/>
        <v>25419828.725195069</v>
      </c>
      <c r="I50" s="59">
        <f t="shared" si="13"/>
        <v>1284952.6564954394</v>
      </c>
    </row>
    <row r="51" spans="1:9" s="21" customFormat="1">
      <c r="A51" s="69"/>
      <c r="B51" s="70"/>
      <c r="C51" s="70"/>
      <c r="D51" s="70"/>
      <c r="E51" s="70"/>
      <c r="F51" s="70"/>
      <c r="G51" s="70"/>
      <c r="H51" s="70"/>
      <c r="I51" s="71"/>
    </row>
    <row r="52" spans="1:9">
      <c r="A52" s="34" t="s">
        <v>47</v>
      </c>
    </row>
    <row r="53" spans="1:9" ht="15" customHeight="1">
      <c r="A53" s="78" t="s">
        <v>70</v>
      </c>
      <c r="B53" s="73"/>
      <c r="C53" s="73"/>
      <c r="D53" s="73"/>
      <c r="E53" s="73"/>
      <c r="F53" s="73"/>
      <c r="G53" s="73"/>
      <c r="H53" s="73"/>
      <c r="I53" s="73"/>
    </row>
    <row r="54" spans="1:9" ht="15" customHeight="1">
      <c r="A54" s="73"/>
      <c r="B54" s="73"/>
      <c r="C54" s="73"/>
      <c r="D54" s="73"/>
      <c r="E54" s="73"/>
      <c r="F54" s="73"/>
      <c r="G54" s="73"/>
      <c r="H54" s="73"/>
      <c r="I54" s="73"/>
    </row>
    <row r="55" spans="1:9" ht="15" customHeight="1">
      <c r="A55" s="77" t="s">
        <v>71</v>
      </c>
      <c r="B55" s="73"/>
      <c r="C55" s="73"/>
      <c r="D55" s="73"/>
      <c r="E55" s="73"/>
      <c r="F55" s="73"/>
      <c r="G55" s="73"/>
      <c r="H55" s="73"/>
      <c r="I55" s="73"/>
    </row>
    <row r="56" spans="1:9" ht="42.75" customHeight="1">
      <c r="A56" s="73"/>
      <c r="B56" s="73"/>
      <c r="C56" s="73"/>
      <c r="D56" s="73"/>
      <c r="E56" s="73"/>
      <c r="F56" s="73"/>
      <c r="G56" s="73"/>
      <c r="H56" s="73"/>
      <c r="I56" s="73"/>
    </row>
    <row r="57" spans="1:9">
      <c r="A57" s="77" t="s">
        <v>72</v>
      </c>
      <c r="B57" s="73"/>
      <c r="C57" s="73"/>
      <c r="D57" s="73"/>
      <c r="E57" s="73"/>
      <c r="F57" s="73"/>
      <c r="G57" s="73"/>
      <c r="H57" s="52"/>
      <c r="I57" s="52"/>
    </row>
    <row r="58" spans="1:9" ht="15" customHeight="1">
      <c r="A58" s="72" t="s">
        <v>58</v>
      </c>
      <c r="B58" s="73"/>
      <c r="C58" s="73"/>
      <c r="D58" s="73"/>
      <c r="E58" s="73"/>
      <c r="F58" s="73"/>
      <c r="G58" s="73"/>
      <c r="H58" s="73"/>
      <c r="I58" s="73"/>
    </row>
    <row r="59" spans="1:9" ht="15" customHeight="1">
      <c r="A59" s="73"/>
      <c r="B59" s="73"/>
      <c r="C59" s="73"/>
      <c r="D59" s="73"/>
      <c r="E59" s="73"/>
      <c r="F59" s="73"/>
      <c r="G59" s="73"/>
      <c r="H59" s="73"/>
      <c r="I59" s="73"/>
    </row>
  </sheetData>
  <mergeCells count="9">
    <mergeCell ref="A58:I59"/>
    <mergeCell ref="A2:I2"/>
    <mergeCell ref="A55:I56"/>
    <mergeCell ref="A57:G57"/>
    <mergeCell ref="A53:I54"/>
    <mergeCell ref="A39:I39"/>
    <mergeCell ref="A19:I20"/>
    <mergeCell ref="A17:I18"/>
    <mergeCell ref="A21:I21"/>
  </mergeCells>
  <pageMargins left="0.7" right="0.7" top="0.75" bottom="0.75" header="0.3" footer="0.3"/>
  <pageSetup orientation="portrait" r:id="rId1"/>
  <ignoredErrors>
    <ignoredError sqref="F48 F42:F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6"/>
  <sheetViews>
    <sheetView workbookViewId="0"/>
  </sheetViews>
  <sheetFormatPr defaultColWidth="14.42578125" defaultRowHeight="15" customHeight="1"/>
  <cols>
    <col min="1" max="1" width="8.7109375" customWidth="1"/>
    <col min="2" max="2" width="57.7109375" customWidth="1"/>
    <col min="3" max="3" width="12.42578125" customWidth="1"/>
    <col min="4" max="4" width="50" customWidth="1"/>
    <col min="5" max="26" width="8.7109375" customWidth="1"/>
  </cols>
  <sheetData>
    <row r="2" spans="2:5">
      <c r="B2" s="79" t="s">
        <v>1</v>
      </c>
      <c r="C2" s="80"/>
      <c r="D2" s="81"/>
    </row>
    <row r="3" spans="2:5">
      <c r="B3" s="2"/>
      <c r="C3" s="3" t="s">
        <v>2</v>
      </c>
      <c r="D3" s="4" t="s">
        <v>3</v>
      </c>
    </row>
    <row r="4" spans="2:5">
      <c r="B4" s="5" t="s">
        <v>4</v>
      </c>
      <c r="C4" s="6">
        <f>'2016 - 2017 summary'!H49</f>
        <v>1587762.1599999997</v>
      </c>
      <c r="D4" s="8" t="s">
        <v>20</v>
      </c>
    </row>
    <row r="5" spans="2:5">
      <c r="B5" s="5" t="s">
        <v>22</v>
      </c>
      <c r="C5" s="6">
        <f>C14</f>
        <v>750000</v>
      </c>
      <c r="D5" s="8" t="s">
        <v>25</v>
      </c>
    </row>
    <row r="6" spans="2:5">
      <c r="B6" s="5" t="s">
        <v>26</v>
      </c>
      <c r="C6" s="6">
        <v>0</v>
      </c>
      <c r="D6" s="8" t="s">
        <v>27</v>
      </c>
    </row>
    <row r="7" spans="2:5">
      <c r="B7" s="26" t="s">
        <v>28</v>
      </c>
      <c r="C7" s="28">
        <f>C4-C5-C6</f>
        <v>837762.15999999968</v>
      </c>
      <c r="D7" s="29" t="s">
        <v>29</v>
      </c>
    </row>
    <row r="9" spans="2:5">
      <c r="B9" s="79" t="s">
        <v>1</v>
      </c>
      <c r="C9" s="80"/>
      <c r="D9" s="81"/>
    </row>
    <row r="10" spans="2:5">
      <c r="B10" s="2" t="s">
        <v>30</v>
      </c>
      <c r="C10" s="3" t="s">
        <v>2</v>
      </c>
      <c r="D10" s="4" t="s">
        <v>7</v>
      </c>
    </row>
    <row r="11" spans="2:5" ht="35.25">
      <c r="B11" s="17" t="s">
        <v>31</v>
      </c>
      <c r="C11" s="18">
        <v>750000</v>
      </c>
      <c r="D11" s="31" t="s">
        <v>32</v>
      </c>
      <c r="E11" s="15"/>
    </row>
    <row r="12" spans="2:5">
      <c r="B12" s="5" t="s">
        <v>33</v>
      </c>
      <c r="C12" s="6">
        <v>0</v>
      </c>
      <c r="D12" s="8" t="s">
        <v>34</v>
      </c>
    </row>
    <row r="13" spans="2:5">
      <c r="B13" s="5" t="s">
        <v>35</v>
      </c>
      <c r="C13" s="6">
        <v>0</v>
      </c>
      <c r="D13" s="8" t="s">
        <v>36</v>
      </c>
    </row>
    <row r="14" spans="2:5">
      <c r="B14" s="9" t="s">
        <v>37</v>
      </c>
      <c r="C14" s="10">
        <f>SUM(C11:C13)</f>
        <v>750000</v>
      </c>
      <c r="D14" s="11"/>
    </row>
    <row r="15" spans="2:5">
      <c r="B15" s="33"/>
    </row>
    <row r="17" spans="2:5">
      <c r="B17" s="34" t="s">
        <v>38</v>
      </c>
    </row>
    <row r="18" spans="2:5" ht="15" customHeight="1">
      <c r="B18" s="82" t="s">
        <v>39</v>
      </c>
      <c r="C18" s="73"/>
      <c r="D18" s="73"/>
    </row>
    <row r="19" spans="2:5">
      <c r="B19" s="73"/>
      <c r="C19" s="73"/>
      <c r="D19" s="73"/>
      <c r="E19" s="15"/>
    </row>
    <row r="20" spans="2:5" ht="15" customHeight="1">
      <c r="B20" s="73"/>
      <c r="C20" s="73"/>
      <c r="D20" s="73"/>
    </row>
    <row r="21" spans="2:5" ht="15" customHeight="1">
      <c r="B21" s="73"/>
      <c r="C21" s="73"/>
      <c r="D21" s="73"/>
    </row>
    <row r="22" spans="2:5" ht="15" customHeight="1">
      <c r="B22" s="73"/>
      <c r="C22" s="73"/>
      <c r="D22" s="73"/>
    </row>
    <row r="23" spans="2:5" ht="15" customHeight="1">
      <c r="B23" s="73"/>
      <c r="C23" s="73"/>
      <c r="D23" s="73"/>
    </row>
    <row r="24" spans="2:5" ht="15" customHeight="1">
      <c r="B24" s="73"/>
      <c r="C24" s="73"/>
      <c r="D24" s="73"/>
    </row>
    <row r="25" spans="2:5" ht="15" customHeight="1">
      <c r="B25" s="73"/>
      <c r="C25" s="73"/>
      <c r="D25" s="73"/>
    </row>
    <row r="26" spans="2:5" ht="29.45" customHeight="1">
      <c r="B26" s="73"/>
      <c r="C26" s="73"/>
      <c r="D26" s="73"/>
    </row>
  </sheetData>
  <mergeCells count="3">
    <mergeCell ref="B2:D2"/>
    <mergeCell ref="B9:D9"/>
    <mergeCell ref="B18:D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7"/>
  <sheetViews>
    <sheetView workbookViewId="0"/>
  </sheetViews>
  <sheetFormatPr defaultColWidth="14.42578125" defaultRowHeight="15" customHeight="1"/>
  <cols>
    <col min="1" max="1" width="8.7109375" customWidth="1"/>
    <col min="2" max="2" width="57.7109375" customWidth="1"/>
    <col min="3" max="3" width="12.42578125" customWidth="1"/>
    <col min="4" max="4" width="50" customWidth="1"/>
    <col min="5" max="26" width="8.7109375" customWidth="1"/>
  </cols>
  <sheetData>
    <row r="4" spans="1:26">
      <c r="B4" s="79" t="s">
        <v>5</v>
      </c>
      <c r="C4" s="80"/>
      <c r="D4" s="81"/>
    </row>
    <row r="5" spans="1:26">
      <c r="B5" s="2" t="s">
        <v>6</v>
      </c>
      <c r="C5" s="3" t="s">
        <v>2</v>
      </c>
      <c r="D5" s="4" t="s">
        <v>7</v>
      </c>
    </row>
    <row r="6" spans="1:26">
      <c r="B6" s="5" t="s">
        <v>8</v>
      </c>
      <c r="C6" s="6">
        <f>+'Unrestricted commitments'!C7</f>
        <v>837762.15999999968</v>
      </c>
      <c r="D6" s="7" t="s">
        <v>9</v>
      </c>
    </row>
    <row r="7" spans="1:26">
      <c r="B7" s="5" t="s">
        <v>10</v>
      </c>
      <c r="C7" s="6">
        <v>480000</v>
      </c>
      <c r="D7" s="8"/>
    </row>
    <row r="8" spans="1:26" ht="14.25" customHeight="1">
      <c r="B8" s="9" t="s">
        <v>11</v>
      </c>
      <c r="C8" s="10">
        <f>C7+C6</f>
        <v>1317762.1599999997</v>
      </c>
      <c r="D8" s="11"/>
    </row>
    <row r="9" spans="1:26" ht="15.75" customHeight="1">
      <c r="B9" s="12"/>
      <c r="C9" s="13"/>
      <c r="D9" s="14"/>
    </row>
    <row r="10" spans="1:26">
      <c r="B10" s="79" t="s">
        <v>12</v>
      </c>
      <c r="C10" s="80"/>
      <c r="D10" s="81"/>
    </row>
    <row r="11" spans="1:26">
      <c r="B11" s="2" t="s">
        <v>6</v>
      </c>
      <c r="C11" s="3" t="s">
        <v>2</v>
      </c>
      <c r="D11" s="4" t="s">
        <v>7</v>
      </c>
      <c r="F11" s="15"/>
    </row>
    <row r="12" spans="1:26">
      <c r="A12" s="16"/>
      <c r="B12" s="17" t="s">
        <v>13</v>
      </c>
      <c r="C12" s="18">
        <v>500000</v>
      </c>
      <c r="D12" s="19"/>
      <c r="E12" s="16"/>
      <c r="F12" s="16"/>
      <c r="G12" s="16"/>
      <c r="H12" s="16"/>
      <c r="I12" s="16"/>
      <c r="J12" s="16"/>
      <c r="K12" s="16"/>
      <c r="L12" s="16"/>
      <c r="M12" s="16"/>
      <c r="N12" s="16"/>
      <c r="O12" s="16"/>
      <c r="P12" s="16"/>
      <c r="Q12" s="16"/>
      <c r="R12" s="16"/>
      <c r="S12" s="16"/>
      <c r="T12" s="16"/>
      <c r="U12" s="16"/>
      <c r="V12" s="16"/>
      <c r="W12" s="16"/>
      <c r="X12" s="16"/>
      <c r="Y12" s="16"/>
      <c r="Z12" s="16"/>
    </row>
    <row r="13" spans="1:26">
      <c r="B13" s="5" t="s">
        <v>14</v>
      </c>
      <c r="C13" s="6">
        <v>0</v>
      </c>
      <c r="D13" s="20"/>
    </row>
    <row r="14" spans="1:26">
      <c r="B14" s="5" t="s">
        <v>15</v>
      </c>
      <c r="C14" s="6">
        <v>150000</v>
      </c>
      <c r="D14" s="19"/>
    </row>
    <row r="15" spans="1:26">
      <c r="B15" s="9" t="s">
        <v>16</v>
      </c>
      <c r="C15" s="10">
        <f>SUM(C12:C14)</f>
        <v>650000</v>
      </c>
      <c r="D15" s="11"/>
    </row>
    <row r="17" spans="2:2">
      <c r="B17" s="21" t="s">
        <v>17</v>
      </c>
    </row>
  </sheetData>
  <mergeCells count="2">
    <mergeCell ref="B4:D4"/>
    <mergeCell ref="B10:D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2016 - 2017 summary</vt:lpstr>
      <vt:lpstr>Unrestricted commitments</vt:lpstr>
      <vt:lpstr>Unrestricted forecasts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2017-11-20T17:26:30Z</dcterms:created>
  <dcterms:modified xsi:type="dcterms:W3CDTF">2017-11-20T17:26:35Z</dcterms:modified>
</cp:coreProperties>
</file>