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bookViews>
    <workbookView xWindow="0" yWindow="0" windowWidth="24240" windowHeight="13740" tabRatio="885" activeTab="22"/>
  </bookViews>
  <sheets>
    <sheet name="Notes" sheetId="82" r:id="rId1"/>
    <sheet name="Summary" sheetId="5" state="hidden" r:id="rId2"/>
    <sheet name="Parameters" sheetId="2" r:id="rId3"/>
    <sheet name="Sources" sheetId="3" r:id="rId4"/>
    <sheet name="Bednets" sheetId="51" state="hidden" r:id="rId5"/>
    <sheet name="Bednets-IR" sheetId="52" state="hidden" r:id="rId6"/>
    <sheet name="Intensity of worms" sheetId="85" state="hidden" r:id="rId7"/>
    <sheet name="YLL per death" sheetId="84" state="hidden" r:id="rId8"/>
    <sheet name="GW medians" sheetId="96" r:id="rId9"/>
    <sheet name="Elie" sheetId="86" state="hidden" r:id="rId10"/>
    <sheet name="Natalie" sheetId="87" state="hidden" r:id="rId11"/>
    <sheet name="Josh" sheetId="88" state="hidden" r:id="rId12"/>
    <sheet name="Tim" sheetId="91" state="hidden" r:id="rId13"/>
    <sheet name="Rebecca" sheetId="89" state="hidden" r:id="rId14"/>
    <sheet name="Andrew" sheetId="90" state="hidden" r:id="rId15"/>
    <sheet name="Emma" sheetId="92" state="hidden" r:id="rId16"/>
    <sheet name="Leon" sheetId="94" state="hidden" r:id="rId17"/>
    <sheet name="Sophie" sheetId="95" state="hidden" r:id="rId18"/>
    <sheet name="Sarah" sheetId="93" state="hidden" r:id="rId19"/>
    <sheet name="Model" sheetId="83" state="hidden" r:id="rId20"/>
    <sheet name="2015 Model" sheetId="53" state="hidden" r:id="rId21"/>
    <sheet name="2014 model" sheetId="50" state="hidden" r:id="rId22"/>
    <sheet name="NLS CEA" sheetId="97" r:id="rId23"/>
    <sheet name="NLS Parameters" sheetId="98"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B" localSheetId="14">'[1]YLL per death'!$C$6</definedName>
    <definedName name="B" localSheetId="9">'[2]YLL per death'!$C$6</definedName>
    <definedName name="B" localSheetId="15">'[3]YLL per death'!$C$6</definedName>
    <definedName name="B" localSheetId="11">'[4]YLL per death'!$C$6</definedName>
    <definedName name="B" localSheetId="16">'[5]YLL per death'!$C$6</definedName>
    <definedName name="B" localSheetId="10">'[6]YLL per death'!$C$6</definedName>
    <definedName name="B" localSheetId="13">'[7]YLL per death'!$C$6</definedName>
    <definedName name="B" localSheetId="18">'[8]YLL per death'!$C$6</definedName>
    <definedName name="B" localSheetId="17">'[9]YLL per death'!$C$6</definedName>
    <definedName name="B" localSheetId="12">'[10]YLL per death'!$C$6</definedName>
    <definedName name="B">'YLL per death'!$C$6</definedName>
    <definedName name="Const" localSheetId="14">'[1]YLL per death'!$R$5</definedName>
    <definedName name="Const" localSheetId="9">'[2]YLL per death'!$R$5</definedName>
    <definedName name="Const" localSheetId="15">'[3]YLL per death'!$R$5</definedName>
    <definedName name="Const" localSheetId="11">'[4]YLL per death'!$R$5</definedName>
    <definedName name="Const" localSheetId="16">'[5]YLL per death'!$R$5</definedName>
    <definedName name="Const" localSheetId="10">'[6]YLL per death'!$R$5</definedName>
    <definedName name="Const" localSheetId="13">'[7]YLL per death'!$R$5</definedName>
    <definedName name="Const" localSheetId="18">'[8]YLL per death'!$R$5</definedName>
    <definedName name="Const" localSheetId="17">'[9]YLL per death'!$R$5</definedName>
    <definedName name="Const" localSheetId="12">'[10]YLL per death'!$R$5</definedName>
    <definedName name="Const">'YLL per death'!$R$5</definedName>
    <definedName name="discount" localSheetId="14">'[1]YLL per death'!$C$5</definedName>
    <definedName name="discount" localSheetId="9">'[2]YLL per death'!$C$5</definedName>
    <definedName name="discount" localSheetId="15">'[3]YLL per death'!$C$5</definedName>
    <definedName name="discount" localSheetId="11">'[4]YLL per death'!$C$5</definedName>
    <definedName name="discount" localSheetId="16">'[5]YLL per death'!$C$5</definedName>
    <definedName name="discount" localSheetId="10">'[6]YLL per death'!$C$5</definedName>
    <definedName name="discount" localSheetId="13">'[7]YLL per death'!$C$5</definedName>
    <definedName name="discount" localSheetId="18">'[8]YLL per death'!$C$5</definedName>
    <definedName name="discount" localSheetId="17">'[9]YLL per death'!$C$5</definedName>
    <definedName name="discount" localSheetId="12">'[10]YLL per death'!$C$5</definedName>
    <definedName name="discount">'YLL per death'!$C$5</definedName>
    <definedName name="K" localSheetId="14">'[1]YLL per death'!$R$9</definedName>
    <definedName name="K" localSheetId="9">'[2]YLL per death'!$R$9</definedName>
    <definedName name="K" localSheetId="15">'[3]YLL per death'!$R$9</definedName>
    <definedName name="K" localSheetId="11">'[4]YLL per death'!$R$9</definedName>
    <definedName name="K" localSheetId="16">'[5]YLL per death'!$R$9</definedName>
    <definedName name="K" localSheetId="10">'[6]YLL per death'!$R$9</definedName>
    <definedName name="K" localSheetId="13">'[7]YLL per death'!$R$9</definedName>
    <definedName name="K" localSheetId="18">'[8]YLL per death'!$R$9</definedName>
    <definedName name="K" localSheetId="17">'[9]YLL per death'!$R$9</definedName>
    <definedName name="K" localSheetId="12">'[10]YLL per death'!$R$9</definedName>
    <definedName name="K">'YLL per death'!$R$9</definedName>
    <definedName name="sources1033" localSheetId="3">Sources!$A$38</definedName>
    <definedName name="sources1145" localSheetId="3">Sources!$A$34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U5" i="5" l="1"/>
  <c r="U6" i="5"/>
  <c r="U7" i="5"/>
  <c r="U8" i="5"/>
  <c r="U9" i="5"/>
  <c r="U10" i="5"/>
  <c r="U11" i="5"/>
  <c r="U12" i="5"/>
  <c r="U13" i="5"/>
  <c r="U14" i="5"/>
  <c r="U17" i="5"/>
  <c r="D7" i="97"/>
  <c r="D43" i="98"/>
  <c r="E26" i="98"/>
  <c r="E24" i="98"/>
  <c r="E23" i="98"/>
  <c r="AK15" i="97"/>
  <c r="AK18" i="97"/>
  <c r="BN4" i="97"/>
  <c r="E63" i="98"/>
  <c r="E64" i="98"/>
  <c r="E65" i="98"/>
  <c r="AK20" i="97"/>
  <c r="AK16" i="97"/>
  <c r="BO4" i="97"/>
  <c r="BP4" i="97"/>
  <c r="BQ4" i="97"/>
  <c r="BR4" i="97"/>
  <c r="AH27" i="97"/>
  <c r="D45" i="98"/>
  <c r="BN5" i="97"/>
  <c r="BO5" i="97"/>
  <c r="BP5" i="97"/>
  <c r="BQ5" i="97"/>
  <c r="BN6" i="97"/>
  <c r="BO6" i="97"/>
  <c r="BP6" i="97"/>
  <c r="BQ6" i="97"/>
  <c r="BR6" i="97"/>
  <c r="BR5" i="97"/>
  <c r="BN7" i="97"/>
  <c r="BO7" i="97"/>
  <c r="BP7" i="97"/>
  <c r="BQ7" i="97"/>
  <c r="BR7" i="97"/>
  <c r="AI27" i="97"/>
  <c r="D92" i="98"/>
  <c r="D87" i="98"/>
  <c r="D94" i="98"/>
  <c r="AK11" i="97"/>
  <c r="AJ27" i="97"/>
  <c r="D38" i="98"/>
  <c r="D39" i="98"/>
  <c r="D40" i="98"/>
  <c r="D41" i="98"/>
  <c r="D48" i="98"/>
  <c r="D32" i="98"/>
  <c r="D33" i="98"/>
  <c r="D34" i="98"/>
  <c r="D35" i="98"/>
  <c r="E48" i="98"/>
  <c r="F48" i="98"/>
  <c r="E49" i="98"/>
  <c r="F49" i="98"/>
  <c r="F50" i="98"/>
  <c r="F52" i="98"/>
  <c r="AK17" i="97"/>
  <c r="AK27" i="97"/>
  <c r="AL27" i="97"/>
  <c r="AK19" i="97"/>
  <c r="AM27" i="97"/>
  <c r="AK32" i="97"/>
  <c r="X5" i="5"/>
  <c r="X6" i="5"/>
  <c r="X7" i="5"/>
  <c r="X8" i="5"/>
  <c r="X9" i="5"/>
  <c r="X10" i="5"/>
  <c r="X11" i="5"/>
  <c r="X12" i="5"/>
  <c r="X13" i="5"/>
  <c r="X14" i="5"/>
  <c r="X17" i="5"/>
  <c r="D14" i="97"/>
  <c r="BA5" i="97"/>
  <c r="BA6" i="97"/>
  <c r="V5" i="5"/>
  <c r="V6" i="5"/>
  <c r="V7" i="5"/>
  <c r="V8" i="5"/>
  <c r="V9" i="5"/>
  <c r="V10" i="5"/>
  <c r="V11" i="5"/>
  <c r="V12" i="5"/>
  <c r="V13" i="5"/>
  <c r="V14" i="5"/>
  <c r="V17" i="5"/>
  <c r="D10" i="97"/>
  <c r="W5" i="5"/>
  <c r="W6" i="5"/>
  <c r="W7" i="5"/>
  <c r="W8" i="5"/>
  <c r="W9" i="5"/>
  <c r="W10" i="5"/>
  <c r="W11" i="5"/>
  <c r="W12" i="5"/>
  <c r="W13" i="5"/>
  <c r="W14" i="5"/>
  <c r="W17" i="5"/>
  <c r="D11" i="97"/>
  <c r="D61" i="2"/>
  <c r="Q39" i="97"/>
  <c r="BB4" i="97"/>
  <c r="BC4" i="97"/>
  <c r="BB5" i="97"/>
  <c r="BD5" i="97"/>
  <c r="BF5" i="97"/>
  <c r="D66" i="2"/>
  <c r="D70" i="2"/>
  <c r="D71" i="2"/>
  <c r="D72" i="2"/>
  <c r="D59" i="2"/>
  <c r="J39" i="97"/>
  <c r="BG5" i="97"/>
  <c r="BH5" i="97"/>
  <c r="BA7" i="97"/>
  <c r="BE5" i="97"/>
  <c r="BB6" i="97"/>
  <c r="BD6" i="97"/>
  <c r="BF6" i="97"/>
  <c r="BG6" i="97"/>
  <c r="BH6" i="97"/>
  <c r="BA8" i="97"/>
  <c r="BE6" i="97"/>
  <c r="BB7" i="97"/>
  <c r="BD7" i="97"/>
  <c r="BF7" i="97"/>
  <c r="BG7" i="97"/>
  <c r="BH7" i="97"/>
  <c r="BA9" i="97"/>
  <c r="BE7" i="97"/>
  <c r="BB8" i="97"/>
  <c r="BD8" i="97"/>
  <c r="BF8" i="97"/>
  <c r="BG8" i="97"/>
  <c r="BH8" i="97"/>
  <c r="BA10" i="97"/>
  <c r="BE8" i="97"/>
  <c r="BB9" i="97"/>
  <c r="BD9" i="97"/>
  <c r="BF9" i="97"/>
  <c r="BG9" i="97"/>
  <c r="BH9" i="97"/>
  <c r="BA11" i="97"/>
  <c r="BE9" i="97"/>
  <c r="BB10" i="97"/>
  <c r="BD10" i="97"/>
  <c r="BF10" i="97"/>
  <c r="BG10" i="97"/>
  <c r="BH10" i="97"/>
  <c r="BA12" i="97"/>
  <c r="BE10" i="97"/>
  <c r="BB11" i="97"/>
  <c r="BD11" i="97"/>
  <c r="BF11" i="97"/>
  <c r="BG11" i="97"/>
  <c r="BH11" i="97"/>
  <c r="BA13" i="97"/>
  <c r="BE11" i="97"/>
  <c r="BB12" i="97"/>
  <c r="BD12" i="97"/>
  <c r="BF12" i="97"/>
  <c r="BG12" i="97"/>
  <c r="BH12" i="97"/>
  <c r="BA14" i="97"/>
  <c r="BE12" i="97"/>
  <c r="BB13" i="97"/>
  <c r="BD13" i="97"/>
  <c r="BF13" i="97"/>
  <c r="BG13" i="97"/>
  <c r="BH13" i="97"/>
  <c r="BA15" i="97"/>
  <c r="BE13" i="97"/>
  <c r="BB14" i="97"/>
  <c r="BD14" i="97"/>
  <c r="BF14" i="97"/>
  <c r="BG14" i="97"/>
  <c r="BH14" i="97"/>
  <c r="BA16" i="97"/>
  <c r="BE14" i="97"/>
  <c r="BB15" i="97"/>
  <c r="BD15" i="97"/>
  <c r="BF15" i="97"/>
  <c r="BG15" i="97"/>
  <c r="BH15" i="97"/>
  <c r="BA17" i="97"/>
  <c r="BE15" i="97"/>
  <c r="BB16" i="97"/>
  <c r="BD16" i="97"/>
  <c r="BF16" i="97"/>
  <c r="BG16" i="97"/>
  <c r="BH16" i="97"/>
  <c r="BA18" i="97"/>
  <c r="BE16" i="97"/>
  <c r="BB17" i="97"/>
  <c r="BD17" i="97"/>
  <c r="BF17" i="97"/>
  <c r="BG17" i="97"/>
  <c r="BH17" i="97"/>
  <c r="BA19" i="97"/>
  <c r="BE17" i="97"/>
  <c r="BB18" i="97"/>
  <c r="BD18" i="97"/>
  <c r="BF18" i="97"/>
  <c r="BG18" i="97"/>
  <c r="BH18" i="97"/>
  <c r="BA20" i="97"/>
  <c r="BE18" i="97"/>
  <c r="BB19" i="97"/>
  <c r="BD19" i="97"/>
  <c r="BF19" i="97"/>
  <c r="BG19" i="97"/>
  <c r="BH19" i="97"/>
  <c r="BA21" i="97"/>
  <c r="BE19" i="97"/>
  <c r="BB20" i="97"/>
  <c r="BD20" i="97"/>
  <c r="BF20" i="97"/>
  <c r="BG20" i="97"/>
  <c r="BH20" i="97"/>
  <c r="BA22" i="97"/>
  <c r="BE20" i="97"/>
  <c r="BB21" i="97"/>
  <c r="BD21" i="97"/>
  <c r="BF21" i="97"/>
  <c r="BG21" i="97"/>
  <c r="BH21" i="97"/>
  <c r="BA23" i="97"/>
  <c r="BE21" i="97"/>
  <c r="BB22" i="97"/>
  <c r="BD22" i="97"/>
  <c r="BF22" i="97"/>
  <c r="BG22" i="97"/>
  <c r="BH22" i="97"/>
  <c r="BA24" i="97"/>
  <c r="BE22" i="97"/>
  <c r="BB23" i="97"/>
  <c r="BD23" i="97"/>
  <c r="BF23" i="97"/>
  <c r="BG23" i="97"/>
  <c r="BH23" i="97"/>
  <c r="BA25" i="97"/>
  <c r="BE23" i="97"/>
  <c r="BB24" i="97"/>
  <c r="BD24" i="97"/>
  <c r="BE24" i="97"/>
  <c r="Y5" i="5"/>
  <c r="Y6" i="5"/>
  <c r="Y7" i="5"/>
  <c r="Y8" i="5"/>
  <c r="Y9" i="5"/>
  <c r="Y10" i="5"/>
  <c r="Y11" i="5"/>
  <c r="Y12" i="5"/>
  <c r="Y13" i="5"/>
  <c r="Y14" i="5"/>
  <c r="Y17" i="5"/>
  <c r="D16" i="97"/>
  <c r="BF24" i="97"/>
  <c r="BG24" i="97"/>
  <c r="BH24" i="97"/>
  <c r="BH25" i="97"/>
  <c r="BA26" i="97"/>
  <c r="BH26" i="97"/>
  <c r="BA27" i="97"/>
  <c r="BH27" i="97"/>
  <c r="BA28" i="97"/>
  <c r="BH28" i="97"/>
  <c r="BA29" i="97"/>
  <c r="BH29" i="97"/>
  <c r="BA30" i="97"/>
  <c r="BH30" i="97"/>
  <c r="BA31" i="97"/>
  <c r="BH31" i="97"/>
  <c r="BA32" i="97"/>
  <c r="BH32" i="97"/>
  <c r="BA33" i="97"/>
  <c r="BH33" i="97"/>
  <c r="BA34" i="97"/>
  <c r="BH34" i="97"/>
  <c r="BA35" i="97"/>
  <c r="BH35" i="97"/>
  <c r="BA36" i="97"/>
  <c r="BH36" i="97"/>
  <c r="BA37" i="97"/>
  <c r="BH37" i="97"/>
  <c r="BA38" i="97"/>
  <c r="BH38" i="97"/>
  <c r="BA39" i="97"/>
  <c r="BH39" i="97"/>
  <c r="BA40" i="97"/>
  <c r="BH40" i="97"/>
  <c r="BA41" i="97"/>
  <c r="BH41" i="97"/>
  <c r="BA42" i="97"/>
  <c r="BH42" i="97"/>
  <c r="BA43" i="97"/>
  <c r="BH43" i="97"/>
  <c r="BA44" i="97"/>
  <c r="BH44" i="97"/>
  <c r="BA45" i="97"/>
  <c r="BH45" i="97"/>
  <c r="BA46" i="97"/>
  <c r="BH46" i="97"/>
  <c r="BA47" i="97"/>
  <c r="BH47" i="97"/>
  <c r="BA48" i="97"/>
  <c r="BH48" i="97"/>
  <c r="BA49" i="97"/>
  <c r="BH49" i="97"/>
  <c r="BA50" i="97"/>
  <c r="BH50" i="97"/>
  <c r="BA51" i="97"/>
  <c r="BH51" i="97"/>
  <c r="BA52" i="97"/>
  <c r="BH52" i="97"/>
  <c r="BA53" i="97"/>
  <c r="BH53" i="97"/>
  <c r="BA54" i="97"/>
  <c r="BH54" i="97"/>
  <c r="BA55" i="97"/>
  <c r="BH55" i="97"/>
  <c r="BA56" i="97"/>
  <c r="BH56" i="97"/>
  <c r="BA57" i="97"/>
  <c r="BH57" i="97"/>
  <c r="BA58" i="97"/>
  <c r="BH58" i="97"/>
  <c r="BA59" i="97"/>
  <c r="BH59" i="97"/>
  <c r="BA60" i="97"/>
  <c r="BH60" i="97"/>
  <c r="BA61" i="97"/>
  <c r="BH61" i="97"/>
  <c r="BA62" i="97"/>
  <c r="BH62" i="97"/>
  <c r="BA63" i="97"/>
  <c r="BH63" i="97"/>
  <c r="BA64" i="97"/>
  <c r="BH64" i="97"/>
  <c r="BA65" i="97"/>
  <c r="BH65" i="97"/>
  <c r="BA66" i="97"/>
  <c r="BH66" i="97"/>
  <c r="BA67" i="97"/>
  <c r="BH67" i="97"/>
  <c r="BA68" i="97"/>
  <c r="BH68" i="97"/>
  <c r="BA69" i="97"/>
  <c r="BH69" i="97"/>
  <c r="BA70" i="97"/>
  <c r="BH70" i="97"/>
  <c r="BA71" i="97"/>
  <c r="BH71" i="97"/>
  <c r="BA72" i="97"/>
  <c r="BH72" i="97"/>
  <c r="BA73" i="97"/>
  <c r="BH73" i="97"/>
  <c r="BA74" i="97"/>
  <c r="BH74" i="97"/>
  <c r="BA75" i="97"/>
  <c r="BH75" i="97"/>
  <c r="BA76" i="97"/>
  <c r="BH76" i="97"/>
  <c r="BA77" i="97"/>
  <c r="BH77" i="97"/>
  <c r="BA78" i="97"/>
  <c r="BH78" i="97"/>
  <c r="BA79" i="97"/>
  <c r="BH79" i="97"/>
  <c r="BA80" i="97"/>
  <c r="BH80" i="97"/>
  <c r="BA81" i="97"/>
  <c r="BH81" i="97"/>
  <c r="BA82" i="97"/>
  <c r="BH82" i="97"/>
  <c r="BA83" i="97"/>
  <c r="BH83" i="97"/>
  <c r="BA84" i="97"/>
  <c r="BH84" i="97"/>
  <c r="BA85" i="97"/>
  <c r="BH85" i="97"/>
  <c r="BA86" i="97"/>
  <c r="BH86" i="97"/>
  <c r="BA87" i="97"/>
  <c r="BH87" i="97"/>
  <c r="BA88" i="97"/>
  <c r="BH88" i="97"/>
  <c r="BA89" i="97"/>
  <c r="BH89" i="97"/>
  <c r="BA90" i="97"/>
  <c r="BH90" i="97"/>
  <c r="BA91" i="97"/>
  <c r="BH91" i="97"/>
  <c r="BA92" i="97"/>
  <c r="BH92" i="97"/>
  <c r="BA93" i="97"/>
  <c r="BH93" i="97"/>
  <c r="BA94" i="97"/>
  <c r="BH94" i="97"/>
  <c r="BA95" i="97"/>
  <c r="BH95" i="97"/>
  <c r="BA96" i="97"/>
  <c r="BH96" i="97"/>
  <c r="BA97" i="97"/>
  <c r="BH97" i="97"/>
  <c r="BA98" i="97"/>
  <c r="BH98" i="97"/>
  <c r="BA99" i="97"/>
  <c r="BH99" i="97"/>
  <c r="BA100" i="97"/>
  <c r="BH100" i="97"/>
  <c r="BA101" i="97"/>
  <c r="BH101" i="97"/>
  <c r="BA102" i="97"/>
  <c r="BH102" i="97"/>
  <c r="BA103" i="97"/>
  <c r="BH103" i="97"/>
  <c r="BA104" i="97"/>
  <c r="BH104" i="97"/>
  <c r="BA105" i="97"/>
  <c r="BH105" i="97"/>
  <c r="BA106" i="97"/>
  <c r="BH106" i="97"/>
  <c r="BA107" i="97"/>
  <c r="BH107" i="97"/>
  <c r="BA108" i="97"/>
  <c r="BH108" i="97"/>
  <c r="BA109" i="97"/>
  <c r="BH109" i="97"/>
  <c r="BA110" i="97"/>
  <c r="BH110" i="97"/>
  <c r="BA111" i="97"/>
  <c r="BH111" i="97"/>
  <c r="BI5" i="97"/>
  <c r="R15" i="97"/>
  <c r="BF4" i="97"/>
  <c r="BG4" i="97"/>
  <c r="BH4" i="97"/>
  <c r="S15" i="97"/>
  <c r="T15" i="97"/>
  <c r="Z5" i="5"/>
  <c r="Z6" i="5"/>
  <c r="Z7" i="5"/>
  <c r="Z8" i="5"/>
  <c r="Z9" i="5"/>
  <c r="Z10" i="5"/>
  <c r="Z11" i="5"/>
  <c r="Z12" i="5"/>
  <c r="Z13" i="5"/>
  <c r="Z14" i="5"/>
  <c r="Z17" i="5"/>
  <c r="D19" i="96"/>
  <c r="Q39" i="96"/>
  <c r="V15" i="97"/>
  <c r="I26" i="97"/>
  <c r="AK31" i="97"/>
  <c r="E50" i="98"/>
  <c r="E52" i="98"/>
  <c r="D50" i="98"/>
  <c r="D52" i="98"/>
  <c r="E14" i="98"/>
  <c r="AF5" i="5"/>
  <c r="AF6" i="5"/>
  <c r="AF7" i="5"/>
  <c r="AF8" i="5"/>
  <c r="AF9" i="5"/>
  <c r="AF10" i="5"/>
  <c r="AF11" i="5"/>
  <c r="AF12" i="5"/>
  <c r="AF13" i="5"/>
  <c r="AF14" i="5"/>
  <c r="AF17" i="5"/>
  <c r="G14" i="97"/>
  <c r="R6" i="97"/>
  <c r="AH5" i="5"/>
  <c r="AH6" i="5"/>
  <c r="AH7" i="5"/>
  <c r="AH8" i="5"/>
  <c r="AH9" i="5"/>
  <c r="AH10" i="5"/>
  <c r="AH11" i="5"/>
  <c r="AH12" i="5"/>
  <c r="AH13" i="5"/>
  <c r="AH14" i="5"/>
  <c r="AH17" i="5"/>
  <c r="G17" i="97"/>
  <c r="S6" i="97"/>
  <c r="AE5" i="5"/>
  <c r="AE6" i="5"/>
  <c r="AE7" i="5"/>
  <c r="AE8" i="5"/>
  <c r="AE9" i="5"/>
  <c r="AE10" i="5"/>
  <c r="AE11" i="5"/>
  <c r="AE12" i="5"/>
  <c r="AE13" i="5"/>
  <c r="AE14" i="5"/>
  <c r="AE17" i="5"/>
  <c r="G11" i="97"/>
  <c r="V39" i="97"/>
  <c r="U39" i="97"/>
  <c r="T6" i="97"/>
  <c r="S12" i="97"/>
  <c r="T12" i="97"/>
  <c r="I25" i="97"/>
  <c r="G31" i="97"/>
  <c r="AJ37" i="97"/>
  <c r="AO5" i="5"/>
  <c r="AO6" i="5"/>
  <c r="AO7" i="5"/>
  <c r="AO8" i="5"/>
  <c r="AO9" i="5"/>
  <c r="AO10" i="5"/>
  <c r="AO11" i="5"/>
  <c r="AO12" i="5"/>
  <c r="AO13" i="5"/>
  <c r="AO14" i="5"/>
  <c r="AO17" i="5"/>
  <c r="J20" i="97"/>
  <c r="D39" i="97"/>
  <c r="R5" i="97"/>
  <c r="S5" i="97"/>
  <c r="AA5" i="5"/>
  <c r="AA6" i="5"/>
  <c r="AA7" i="5"/>
  <c r="AA8" i="5"/>
  <c r="AA9" i="5"/>
  <c r="AA10" i="5"/>
  <c r="AA11" i="5"/>
  <c r="AA12" i="5"/>
  <c r="AA13" i="5"/>
  <c r="AA14" i="5"/>
  <c r="AA17" i="5"/>
  <c r="G7" i="97"/>
  <c r="AC5" i="5"/>
  <c r="AC6" i="5"/>
  <c r="AC7" i="5"/>
  <c r="AC8" i="5"/>
  <c r="AC9" i="5"/>
  <c r="AC10" i="5"/>
  <c r="AC11" i="5"/>
  <c r="AC12" i="5"/>
  <c r="AC13" i="5"/>
  <c r="AC14" i="5"/>
  <c r="AC17" i="5"/>
  <c r="G9" i="97"/>
  <c r="AI5" i="5"/>
  <c r="AI6" i="5"/>
  <c r="AI7" i="5"/>
  <c r="AI8" i="5"/>
  <c r="AI9" i="5"/>
  <c r="AI10" i="5"/>
  <c r="AI11" i="5"/>
  <c r="AI12" i="5"/>
  <c r="AI13" i="5"/>
  <c r="AI14" i="5"/>
  <c r="AI17" i="5"/>
  <c r="G20" i="97"/>
  <c r="AB5" i="5"/>
  <c r="AB6" i="5"/>
  <c r="AB7" i="5"/>
  <c r="AB8" i="5"/>
  <c r="AB9" i="5"/>
  <c r="AB10" i="5"/>
  <c r="AB11" i="5"/>
  <c r="AB12" i="5"/>
  <c r="AB13" i="5"/>
  <c r="AB14" i="5"/>
  <c r="AB17" i="5"/>
  <c r="G8" i="97"/>
  <c r="G39" i="97"/>
  <c r="T5" i="97"/>
  <c r="AK5" i="5"/>
  <c r="AK6" i="5"/>
  <c r="AK7" i="5"/>
  <c r="AK8" i="5"/>
  <c r="AK9" i="5"/>
  <c r="AK10" i="5"/>
  <c r="AK11" i="5"/>
  <c r="AK12" i="5"/>
  <c r="AK13" i="5"/>
  <c r="AK14" i="5"/>
  <c r="AK17" i="5"/>
  <c r="J8" i="97"/>
  <c r="AB7" i="97"/>
  <c r="AB15" i="97"/>
  <c r="AQ5" i="5"/>
  <c r="AQ6" i="5"/>
  <c r="AQ7" i="5"/>
  <c r="AQ8" i="5"/>
  <c r="AQ9" i="5"/>
  <c r="AQ10" i="5"/>
  <c r="AQ11" i="5"/>
  <c r="AQ12" i="5"/>
  <c r="AQ13" i="5"/>
  <c r="AQ14" i="5"/>
  <c r="AQ17" i="5"/>
  <c r="J15" i="97"/>
  <c r="AG5" i="5"/>
  <c r="AG6" i="5"/>
  <c r="AG7" i="5"/>
  <c r="AG8" i="5"/>
  <c r="AG9" i="5"/>
  <c r="AG10" i="5"/>
  <c r="AG11" i="5"/>
  <c r="AG12" i="5"/>
  <c r="AG13" i="5"/>
  <c r="AG14" i="5"/>
  <c r="AG17" i="5"/>
  <c r="G15" i="97"/>
  <c r="AD5" i="5"/>
  <c r="AD6" i="5"/>
  <c r="AD7" i="5"/>
  <c r="AD8" i="5"/>
  <c r="AD9" i="5"/>
  <c r="AD10" i="5"/>
  <c r="AD11" i="5"/>
  <c r="AD12" i="5"/>
  <c r="AD13" i="5"/>
  <c r="AD14" i="5"/>
  <c r="AD17" i="5"/>
  <c r="G10" i="97"/>
  <c r="V5" i="97"/>
  <c r="S10" i="97"/>
  <c r="AS5" i="5"/>
  <c r="AS6" i="5"/>
  <c r="AS7" i="5"/>
  <c r="AS8" i="5"/>
  <c r="AS9" i="5"/>
  <c r="AS10" i="5"/>
  <c r="J18" i="92"/>
  <c r="AS11" i="5"/>
  <c r="AS12" i="5"/>
  <c r="AS13" i="5"/>
  <c r="AS14" i="5"/>
  <c r="AS17" i="5"/>
  <c r="J18" i="97"/>
  <c r="AM5" i="5"/>
  <c r="AM6" i="5"/>
  <c r="AM7" i="5"/>
  <c r="AM8" i="5"/>
  <c r="AM9" i="5"/>
  <c r="AM10" i="5"/>
  <c r="AM11" i="5"/>
  <c r="AM12" i="5"/>
  <c r="AM13" i="5"/>
  <c r="AM14" i="5"/>
  <c r="AM17" i="5"/>
  <c r="J10" i="97"/>
  <c r="T10" i="97"/>
  <c r="I24" i="97"/>
  <c r="G30" i="97"/>
  <c r="AJ36" i="97"/>
  <c r="AN5" i="5"/>
  <c r="AN6" i="5"/>
  <c r="AN7" i="5"/>
  <c r="AN8" i="5"/>
  <c r="AN9" i="5"/>
  <c r="AN10" i="5"/>
  <c r="AN11" i="5"/>
  <c r="AN12" i="5"/>
  <c r="AN13" i="5"/>
  <c r="AN14" i="5"/>
  <c r="AN17" i="5"/>
  <c r="J11" i="97"/>
  <c r="AJ5" i="5"/>
  <c r="AJ6" i="5"/>
  <c r="AJ7" i="5"/>
  <c r="AJ8" i="5"/>
  <c r="AJ9" i="5"/>
  <c r="AJ10" i="5"/>
  <c r="AJ11" i="5"/>
  <c r="AJ12" i="5"/>
  <c r="AJ13" i="5"/>
  <c r="AJ14" i="5"/>
  <c r="AJ17" i="5"/>
  <c r="J7" i="97"/>
  <c r="AB6" i="97"/>
  <c r="AB14" i="97"/>
  <c r="AP5" i="5"/>
  <c r="AP6" i="5"/>
  <c r="AP7" i="5"/>
  <c r="AP8" i="5"/>
  <c r="AP9" i="5"/>
  <c r="AP10" i="5"/>
  <c r="AP11" i="5"/>
  <c r="AP12" i="5"/>
  <c r="AP13" i="5"/>
  <c r="AP14" i="5"/>
  <c r="AP17" i="5"/>
  <c r="J14" i="97"/>
  <c r="S9" i="97"/>
  <c r="AR5" i="5"/>
  <c r="AR6" i="5"/>
  <c r="AR7" i="5"/>
  <c r="AR8" i="5"/>
  <c r="AR9" i="5"/>
  <c r="AR10" i="5"/>
  <c r="J17" i="92"/>
  <c r="AR11" i="5"/>
  <c r="AR12" i="5"/>
  <c r="AR13" i="5"/>
  <c r="AR14" i="5"/>
  <c r="AR17" i="5"/>
  <c r="J17" i="97"/>
  <c r="AL5" i="5"/>
  <c r="AL6" i="5"/>
  <c r="AL7" i="5"/>
  <c r="AL8" i="5"/>
  <c r="AL9" i="5"/>
  <c r="AL10" i="5"/>
  <c r="AL11" i="5"/>
  <c r="AL12" i="5"/>
  <c r="AL13" i="5"/>
  <c r="AL14" i="5"/>
  <c r="AL17" i="5"/>
  <c r="J9" i="97"/>
  <c r="T9" i="97"/>
  <c r="I23" i="97"/>
  <c r="G29" i="97"/>
  <c r="AJ35" i="97"/>
  <c r="I27" i="97"/>
  <c r="AK33" i="97"/>
  <c r="AK30" i="97"/>
  <c r="AK29" i="97"/>
  <c r="AK28" i="97"/>
  <c r="AH28" i="97"/>
  <c r="AJ38" i="97"/>
  <c r="D91" i="98"/>
  <c r="D86" i="98"/>
  <c r="E68" i="98"/>
  <c r="E69" i="98"/>
  <c r="C63" i="98"/>
  <c r="F38" i="98"/>
  <c r="F24" i="98"/>
  <c r="F23" i="98"/>
  <c r="BG111" i="97"/>
  <c r="BB111" i="97"/>
  <c r="BD111" i="97"/>
  <c r="BE111" i="97"/>
  <c r="BF111" i="97"/>
  <c r="BG110" i="97"/>
  <c r="BB110" i="97"/>
  <c r="BD110" i="97"/>
  <c r="BE110" i="97"/>
  <c r="BF110" i="97"/>
  <c r="BG109" i="97"/>
  <c r="BB109" i="97"/>
  <c r="BD109" i="97"/>
  <c r="BE109" i="97"/>
  <c r="BF109" i="97"/>
  <c r="BG108" i="97"/>
  <c r="BB108" i="97"/>
  <c r="BD108" i="97"/>
  <c r="BE108" i="97"/>
  <c r="BF108" i="97"/>
  <c r="BG107" i="97"/>
  <c r="BB107" i="97"/>
  <c r="BD107" i="97"/>
  <c r="BE107" i="97"/>
  <c r="BF107" i="97"/>
  <c r="BG106" i="97"/>
  <c r="BB106" i="97"/>
  <c r="BD106" i="97"/>
  <c r="BE106" i="97"/>
  <c r="BF106" i="97"/>
  <c r="BG105" i="97"/>
  <c r="BB105" i="97"/>
  <c r="BD105" i="97"/>
  <c r="BE105" i="97"/>
  <c r="BF105" i="97"/>
  <c r="BG104" i="97"/>
  <c r="BB104" i="97"/>
  <c r="BD104" i="97"/>
  <c r="BE104" i="97"/>
  <c r="BF104" i="97"/>
  <c r="BG103" i="97"/>
  <c r="BB103" i="97"/>
  <c r="BD103" i="97"/>
  <c r="BE103" i="97"/>
  <c r="BF103" i="97"/>
  <c r="BG102" i="97"/>
  <c r="BB102" i="97"/>
  <c r="BD102" i="97"/>
  <c r="BE102" i="97"/>
  <c r="BF102" i="97"/>
  <c r="BG101" i="97"/>
  <c r="BB101" i="97"/>
  <c r="BD101" i="97"/>
  <c r="BE101" i="97"/>
  <c r="BF101" i="97"/>
  <c r="BG100" i="97"/>
  <c r="BB100" i="97"/>
  <c r="BD100" i="97"/>
  <c r="BE100" i="97"/>
  <c r="BF100" i="97"/>
  <c r="BG99" i="97"/>
  <c r="BB99" i="97"/>
  <c r="BD99" i="97"/>
  <c r="BE99" i="97"/>
  <c r="BF99" i="97"/>
  <c r="BG98" i="97"/>
  <c r="BB98" i="97"/>
  <c r="BD98" i="97"/>
  <c r="BE98" i="97"/>
  <c r="BF98" i="97"/>
  <c r="BG97" i="97"/>
  <c r="BB97" i="97"/>
  <c r="BD97" i="97"/>
  <c r="BE97" i="97"/>
  <c r="BF97" i="97"/>
  <c r="BG96" i="97"/>
  <c r="BB96" i="97"/>
  <c r="BD96" i="97"/>
  <c r="BE96" i="97"/>
  <c r="BF96" i="97"/>
  <c r="BG95" i="97"/>
  <c r="BB95" i="97"/>
  <c r="BD95" i="97"/>
  <c r="BE95" i="97"/>
  <c r="BF95" i="97"/>
  <c r="BG94" i="97"/>
  <c r="BB94" i="97"/>
  <c r="BD94" i="97"/>
  <c r="BE94" i="97"/>
  <c r="BF94" i="97"/>
  <c r="BG93" i="97"/>
  <c r="BB93" i="97"/>
  <c r="BD93" i="97"/>
  <c r="BE93" i="97"/>
  <c r="BF93" i="97"/>
  <c r="BG92" i="97"/>
  <c r="BB92" i="97"/>
  <c r="BD92" i="97"/>
  <c r="BE92" i="97"/>
  <c r="BF92" i="97"/>
  <c r="BG91" i="97"/>
  <c r="BB91" i="97"/>
  <c r="BD91" i="97"/>
  <c r="BE91" i="97"/>
  <c r="BF91" i="97"/>
  <c r="BG90" i="97"/>
  <c r="BB90" i="97"/>
  <c r="BD90" i="97"/>
  <c r="BE90" i="97"/>
  <c r="BF90" i="97"/>
  <c r="BG89" i="97"/>
  <c r="BB89" i="97"/>
  <c r="BD89" i="97"/>
  <c r="BE89" i="97"/>
  <c r="BF89" i="97"/>
  <c r="BG88" i="97"/>
  <c r="BB88" i="97"/>
  <c r="BD88" i="97"/>
  <c r="BE88" i="97"/>
  <c r="BF88" i="97"/>
  <c r="BG87" i="97"/>
  <c r="BB87" i="97"/>
  <c r="BD87" i="97"/>
  <c r="BE87" i="97"/>
  <c r="BF87" i="97"/>
  <c r="BG86" i="97"/>
  <c r="BB86" i="97"/>
  <c r="BD86" i="97"/>
  <c r="BE86" i="97"/>
  <c r="BF86" i="97"/>
  <c r="BG85" i="97"/>
  <c r="BB85" i="97"/>
  <c r="BD85" i="97"/>
  <c r="BE85" i="97"/>
  <c r="BF85" i="97"/>
  <c r="BG84" i="97"/>
  <c r="BB84" i="97"/>
  <c r="BD84" i="97"/>
  <c r="BE84" i="97"/>
  <c r="BF84" i="97"/>
  <c r="BG83" i="97"/>
  <c r="BB83" i="97"/>
  <c r="BD83" i="97"/>
  <c r="BE83" i="97"/>
  <c r="BF83" i="97"/>
  <c r="BG82" i="97"/>
  <c r="BB82" i="97"/>
  <c r="BD82" i="97"/>
  <c r="BE82" i="97"/>
  <c r="BF82" i="97"/>
  <c r="BG81" i="97"/>
  <c r="BB81" i="97"/>
  <c r="BD81" i="97"/>
  <c r="BE81" i="97"/>
  <c r="BF81" i="97"/>
  <c r="BG80" i="97"/>
  <c r="BB80" i="97"/>
  <c r="BD80" i="97"/>
  <c r="BE80" i="97"/>
  <c r="BF80" i="97"/>
  <c r="BG79" i="97"/>
  <c r="BB79" i="97"/>
  <c r="BD79" i="97"/>
  <c r="BE79" i="97"/>
  <c r="BF79" i="97"/>
  <c r="BG78" i="97"/>
  <c r="BB78" i="97"/>
  <c r="BD78" i="97"/>
  <c r="BE78" i="97"/>
  <c r="BF78" i="97"/>
  <c r="BG77" i="97"/>
  <c r="BB77" i="97"/>
  <c r="BD77" i="97"/>
  <c r="BE77" i="97"/>
  <c r="BF77" i="97"/>
  <c r="BG76" i="97"/>
  <c r="BB76" i="97"/>
  <c r="BD76" i="97"/>
  <c r="BE76" i="97"/>
  <c r="BF76" i="97"/>
  <c r="BG75" i="97"/>
  <c r="BB75" i="97"/>
  <c r="BD75" i="97"/>
  <c r="BE75" i="97"/>
  <c r="BF75" i="97"/>
  <c r="BG74" i="97"/>
  <c r="BB74" i="97"/>
  <c r="BD74" i="97"/>
  <c r="BE74" i="97"/>
  <c r="BF74" i="97"/>
  <c r="BG73" i="97"/>
  <c r="BB73" i="97"/>
  <c r="BD73" i="97"/>
  <c r="BE73" i="97"/>
  <c r="BF73" i="97"/>
  <c r="BG72" i="97"/>
  <c r="BB72" i="97"/>
  <c r="BD72" i="97"/>
  <c r="BE72" i="97"/>
  <c r="BF72" i="97"/>
  <c r="BG71" i="97"/>
  <c r="BB71" i="97"/>
  <c r="BD71" i="97"/>
  <c r="BE71" i="97"/>
  <c r="BF71" i="97"/>
  <c r="BG70" i="97"/>
  <c r="BB70" i="97"/>
  <c r="BD70" i="97"/>
  <c r="BE70" i="97"/>
  <c r="BF70" i="97"/>
  <c r="BG69" i="97"/>
  <c r="BB69" i="97"/>
  <c r="BD69" i="97"/>
  <c r="BE69" i="97"/>
  <c r="BF69" i="97"/>
  <c r="BG68" i="97"/>
  <c r="BB68" i="97"/>
  <c r="BD68" i="97"/>
  <c r="BE68" i="97"/>
  <c r="BF68" i="97"/>
  <c r="BG67" i="97"/>
  <c r="BB67" i="97"/>
  <c r="BD67" i="97"/>
  <c r="BE67" i="97"/>
  <c r="BF67" i="97"/>
  <c r="BG66" i="97"/>
  <c r="BB66" i="97"/>
  <c r="BD66" i="97"/>
  <c r="BE66" i="97"/>
  <c r="BF66" i="97"/>
  <c r="BG65" i="97"/>
  <c r="BB65" i="97"/>
  <c r="BD65" i="97"/>
  <c r="BE65" i="97"/>
  <c r="BF65" i="97"/>
  <c r="BG64" i="97"/>
  <c r="BB64" i="97"/>
  <c r="BD64" i="97"/>
  <c r="BE64" i="97"/>
  <c r="BF64" i="97"/>
  <c r="BG63" i="97"/>
  <c r="BB63" i="97"/>
  <c r="BD63" i="97"/>
  <c r="BE63" i="97"/>
  <c r="BF63" i="97"/>
  <c r="BG62" i="97"/>
  <c r="BB62" i="97"/>
  <c r="BD62" i="97"/>
  <c r="BE62" i="97"/>
  <c r="BF62" i="97"/>
  <c r="BG61" i="97"/>
  <c r="BB61" i="97"/>
  <c r="BD61" i="97"/>
  <c r="BE61" i="97"/>
  <c r="BF61" i="97"/>
  <c r="BG60" i="97"/>
  <c r="BB60" i="97"/>
  <c r="BD60" i="97"/>
  <c r="BE60" i="97"/>
  <c r="BF60" i="97"/>
  <c r="BG59" i="97"/>
  <c r="BB59" i="97"/>
  <c r="BD59" i="97"/>
  <c r="BE59" i="97"/>
  <c r="BF59" i="97"/>
  <c r="BG58" i="97"/>
  <c r="BB58" i="97"/>
  <c r="BD58" i="97"/>
  <c r="BE58" i="97"/>
  <c r="BF58" i="97"/>
  <c r="BG57" i="97"/>
  <c r="BB57" i="97"/>
  <c r="BD57" i="97"/>
  <c r="BE57" i="97"/>
  <c r="BF57" i="97"/>
  <c r="BG56" i="97"/>
  <c r="BB56" i="97"/>
  <c r="BD56" i="97"/>
  <c r="BE56" i="97"/>
  <c r="BF56" i="97"/>
  <c r="BG55" i="97"/>
  <c r="BB55" i="97"/>
  <c r="BD55" i="97"/>
  <c r="BE55" i="97"/>
  <c r="BF55" i="97"/>
  <c r="BG54" i="97"/>
  <c r="BB54" i="97"/>
  <c r="BD54" i="97"/>
  <c r="BE54" i="97"/>
  <c r="BF54" i="97"/>
  <c r="BG53" i="97"/>
  <c r="BB53" i="97"/>
  <c r="BD53" i="97"/>
  <c r="BE53" i="97"/>
  <c r="BF53" i="97"/>
  <c r="BG52" i="97"/>
  <c r="BB52" i="97"/>
  <c r="BD52" i="97"/>
  <c r="BE52" i="97"/>
  <c r="BF52" i="97"/>
  <c r="BG51" i="97"/>
  <c r="BB51" i="97"/>
  <c r="BD51" i="97"/>
  <c r="BE51" i="97"/>
  <c r="BF51" i="97"/>
  <c r="BG50" i="97"/>
  <c r="BB50" i="97"/>
  <c r="BD50" i="97"/>
  <c r="BE50" i="97"/>
  <c r="BF50" i="97"/>
  <c r="BG49" i="97"/>
  <c r="BB49" i="97"/>
  <c r="BD49" i="97"/>
  <c r="BE49" i="97"/>
  <c r="BF49" i="97"/>
  <c r="BG48" i="97"/>
  <c r="BB48" i="97"/>
  <c r="BD48" i="97"/>
  <c r="BE48" i="97"/>
  <c r="BF48" i="97"/>
  <c r="BG47" i="97"/>
  <c r="BB47" i="97"/>
  <c r="BD47" i="97"/>
  <c r="BE47" i="97"/>
  <c r="BF47" i="97"/>
  <c r="BG46" i="97"/>
  <c r="BB46" i="97"/>
  <c r="BD46" i="97"/>
  <c r="BE46" i="97"/>
  <c r="BF46" i="97"/>
  <c r="BG45" i="97"/>
  <c r="BB45" i="97"/>
  <c r="BD45" i="97"/>
  <c r="BE45" i="97"/>
  <c r="BF45" i="97"/>
  <c r="BG44" i="97"/>
  <c r="BB44" i="97"/>
  <c r="BD44" i="97"/>
  <c r="BE44" i="97"/>
  <c r="BF44" i="97"/>
  <c r="BG43" i="97"/>
  <c r="BB43" i="97"/>
  <c r="BD43" i="97"/>
  <c r="BE43" i="97"/>
  <c r="BF43" i="97"/>
  <c r="BG42" i="97"/>
  <c r="BB42" i="97"/>
  <c r="BD42" i="97"/>
  <c r="BE42" i="97"/>
  <c r="BF42" i="97"/>
  <c r="BG41" i="97"/>
  <c r="BB41" i="97"/>
  <c r="BD41" i="97"/>
  <c r="BE41" i="97"/>
  <c r="BF41" i="97"/>
  <c r="BG40" i="97"/>
  <c r="BB40" i="97"/>
  <c r="BD40" i="97"/>
  <c r="BE40" i="97"/>
  <c r="BF40" i="97"/>
  <c r="BG39" i="97"/>
  <c r="BB39" i="97"/>
  <c r="BD39" i="97"/>
  <c r="BE39" i="97"/>
  <c r="BF39" i="97"/>
  <c r="G33" i="51"/>
  <c r="G34" i="51"/>
  <c r="G35" i="51"/>
  <c r="G24" i="51"/>
  <c r="G25" i="51"/>
  <c r="G28" i="51"/>
  <c r="G30" i="51"/>
  <c r="G36" i="51"/>
  <c r="G26" i="51"/>
  <c r="G29" i="51"/>
  <c r="G31" i="51"/>
  <c r="G37" i="51"/>
  <c r="G42" i="51"/>
  <c r="G43" i="51"/>
  <c r="D48" i="2"/>
  <c r="S39" i="97"/>
  <c r="G10" i="51"/>
  <c r="G14" i="51"/>
  <c r="G16" i="51"/>
  <c r="G18" i="51"/>
  <c r="G19" i="51"/>
  <c r="G38" i="51"/>
  <c r="G44" i="51"/>
  <c r="D47" i="2"/>
  <c r="R39" i="97"/>
  <c r="O39" i="97"/>
  <c r="H39" i="97"/>
  <c r="BG38" i="97"/>
  <c r="BB38" i="97"/>
  <c r="BD38" i="97"/>
  <c r="BE38" i="97"/>
  <c r="BF38" i="97"/>
  <c r="BG37" i="97"/>
  <c r="BB37" i="97"/>
  <c r="BD37" i="97"/>
  <c r="BE37" i="97"/>
  <c r="BF37" i="97"/>
  <c r="BG36" i="97"/>
  <c r="BB36" i="97"/>
  <c r="BD36" i="97"/>
  <c r="BE36" i="97"/>
  <c r="BF36" i="97"/>
  <c r="I36" i="97"/>
  <c r="BG35" i="97"/>
  <c r="BB35" i="97"/>
  <c r="BD35" i="97"/>
  <c r="BE35" i="97"/>
  <c r="BF35" i="97"/>
  <c r="AU5" i="5"/>
  <c r="AU6" i="5"/>
  <c r="AU7" i="5"/>
  <c r="AU8" i="5"/>
  <c r="AU9" i="5"/>
  <c r="AU10" i="5"/>
  <c r="AU11" i="5"/>
  <c r="AU12" i="5"/>
  <c r="AU13" i="5"/>
  <c r="AU14" i="5"/>
  <c r="AU17" i="5"/>
  <c r="M19" i="97"/>
  <c r="W35" i="97"/>
  <c r="AT5" i="5"/>
  <c r="AT6" i="5"/>
  <c r="AT7" i="5"/>
  <c r="AT8" i="5"/>
  <c r="AT9" i="5"/>
  <c r="AT10" i="5"/>
  <c r="AT11" i="5"/>
  <c r="AT12" i="5"/>
  <c r="AT13" i="5"/>
  <c r="AT14" i="5"/>
  <c r="AT17" i="5"/>
  <c r="M18" i="97"/>
  <c r="AV5" i="5"/>
  <c r="AV6" i="5"/>
  <c r="AV7" i="5"/>
  <c r="AV8" i="5"/>
  <c r="AV9" i="5"/>
  <c r="AV10" i="5"/>
  <c r="AV11" i="5"/>
  <c r="AV12" i="5"/>
  <c r="AV13" i="5"/>
  <c r="AV14" i="5"/>
  <c r="AV17" i="5"/>
  <c r="M20" i="97"/>
  <c r="AB8" i="97"/>
  <c r="AB16" i="97"/>
  <c r="T11" i="97"/>
  <c r="V11" i="97"/>
  <c r="I35" i="97"/>
  <c r="BG34" i="97"/>
  <c r="BB34" i="97"/>
  <c r="BD34" i="97"/>
  <c r="BE34" i="97"/>
  <c r="BF34" i="97"/>
  <c r="V10" i="97"/>
  <c r="I34" i="97"/>
  <c r="BG33" i="97"/>
  <c r="BB33" i="97"/>
  <c r="BD33" i="97"/>
  <c r="BE33" i="97"/>
  <c r="BF33" i="97"/>
  <c r="S28" i="97"/>
  <c r="S25" i="97"/>
  <c r="S33" i="97"/>
  <c r="W33" i="97"/>
  <c r="V9" i="97"/>
  <c r="I33" i="97"/>
  <c r="BG32" i="97"/>
  <c r="BB32" i="97"/>
  <c r="BD32" i="97"/>
  <c r="BE32" i="97"/>
  <c r="BF32" i="97"/>
  <c r="S27" i="97"/>
  <c r="S32" i="97"/>
  <c r="W32" i="97"/>
  <c r="BG31" i="97"/>
  <c r="BB31" i="97"/>
  <c r="BD31" i="97"/>
  <c r="BE31" i="97"/>
  <c r="BF31" i="97"/>
  <c r="S26" i="97"/>
  <c r="S31" i="97"/>
  <c r="W31" i="97"/>
  <c r="BG30" i="97"/>
  <c r="BB30" i="97"/>
  <c r="BD30" i="97"/>
  <c r="BE30" i="97"/>
  <c r="BF30" i="97"/>
  <c r="BG29" i="97"/>
  <c r="BB29" i="97"/>
  <c r="BD29" i="97"/>
  <c r="BE29" i="97"/>
  <c r="BF29" i="97"/>
  <c r="S29" i="97"/>
  <c r="W29" i="97"/>
  <c r="BG28" i="97"/>
  <c r="BB28" i="97"/>
  <c r="BD28" i="97"/>
  <c r="BE28" i="97"/>
  <c r="BF28" i="97"/>
  <c r="W28" i="97"/>
  <c r="BG27" i="97"/>
  <c r="BB27" i="97"/>
  <c r="BD27" i="97"/>
  <c r="BE27" i="97"/>
  <c r="BF27" i="97"/>
  <c r="W27" i="97"/>
  <c r="BG26" i="97"/>
  <c r="BB26" i="97"/>
  <c r="BD26" i="97"/>
  <c r="BE26" i="97"/>
  <c r="BF26" i="97"/>
  <c r="W26" i="97"/>
  <c r="BG25" i="97"/>
  <c r="BB25" i="97"/>
  <c r="BD25" i="97"/>
  <c r="BE25" i="97"/>
  <c r="BF25" i="97"/>
  <c r="W21" i="97"/>
  <c r="V21" i="97"/>
  <c r="T21" i="97"/>
  <c r="S21" i="97"/>
  <c r="W20" i="97"/>
  <c r="V20" i="97"/>
  <c r="T20" i="97"/>
  <c r="S20" i="97"/>
  <c r="D19" i="97"/>
  <c r="W18" i="97"/>
  <c r="V18" i="97"/>
  <c r="T18" i="97"/>
  <c r="S18" i="97"/>
  <c r="W17" i="97"/>
  <c r="V17" i="97"/>
  <c r="T17" i="97"/>
  <c r="S17" i="97"/>
  <c r="U11" i="97"/>
  <c r="AE7" i="97"/>
  <c r="AE8" i="97"/>
  <c r="AE6" i="97"/>
  <c r="BJ5" i="97"/>
  <c r="R6" i="93"/>
  <c r="S6" i="93"/>
  <c r="V39" i="93"/>
  <c r="U39" i="93"/>
  <c r="T6" i="93"/>
  <c r="S12" i="93"/>
  <c r="T12" i="93"/>
  <c r="I25" i="93"/>
  <c r="AS5" i="93"/>
  <c r="AS6" i="93"/>
  <c r="Q39" i="93"/>
  <c r="AT4" i="93"/>
  <c r="AU4" i="93"/>
  <c r="AT5" i="93"/>
  <c r="AV5" i="93"/>
  <c r="AX5" i="93"/>
  <c r="J39" i="93"/>
  <c r="AY5" i="93"/>
  <c r="AZ5" i="93"/>
  <c r="AS7" i="93"/>
  <c r="AW5" i="93"/>
  <c r="AT6" i="93"/>
  <c r="AV6" i="93"/>
  <c r="AX6" i="93"/>
  <c r="AY6" i="93"/>
  <c r="AZ6" i="93"/>
  <c r="AS8" i="93"/>
  <c r="AW6" i="93"/>
  <c r="AT7" i="93"/>
  <c r="AV7" i="93"/>
  <c r="AX7" i="93"/>
  <c r="AY7" i="93"/>
  <c r="AZ7" i="93"/>
  <c r="AS9" i="93"/>
  <c r="AW7" i="93"/>
  <c r="AT8" i="93"/>
  <c r="AV8" i="93"/>
  <c r="AX8" i="93"/>
  <c r="AY8" i="93"/>
  <c r="AZ8" i="93"/>
  <c r="AS10" i="93"/>
  <c r="AW8" i="93"/>
  <c r="AT9" i="93"/>
  <c r="AV9" i="93"/>
  <c r="AX9" i="93"/>
  <c r="AY9" i="93"/>
  <c r="AZ9" i="93"/>
  <c r="AS11" i="93"/>
  <c r="AW9" i="93"/>
  <c r="AT10" i="93"/>
  <c r="AV10" i="93"/>
  <c r="AX10" i="93"/>
  <c r="AY10" i="93"/>
  <c r="AZ10" i="93"/>
  <c r="AS12" i="93"/>
  <c r="AW10" i="93"/>
  <c r="AT11" i="93"/>
  <c r="AV11" i="93"/>
  <c r="AX11" i="93"/>
  <c r="AY11" i="93"/>
  <c r="AZ11" i="93"/>
  <c r="AS13" i="93"/>
  <c r="AW11" i="93"/>
  <c r="AT12" i="93"/>
  <c r="AV12" i="93"/>
  <c r="AX12" i="93"/>
  <c r="AY12" i="93"/>
  <c r="AZ12" i="93"/>
  <c r="AS14" i="93"/>
  <c r="AW12" i="93"/>
  <c r="AT13" i="93"/>
  <c r="AV13" i="93"/>
  <c r="AX13" i="93"/>
  <c r="AY13" i="93"/>
  <c r="AZ13" i="93"/>
  <c r="AS15" i="93"/>
  <c r="AW13" i="93"/>
  <c r="AT14" i="93"/>
  <c r="AV14" i="93"/>
  <c r="AX14" i="93"/>
  <c r="AY14" i="93"/>
  <c r="AZ14" i="93"/>
  <c r="AS16" i="93"/>
  <c r="AW14" i="93"/>
  <c r="AT15" i="93"/>
  <c r="AV15" i="93"/>
  <c r="AX15" i="93"/>
  <c r="AY15" i="93"/>
  <c r="AZ15" i="93"/>
  <c r="AS17" i="93"/>
  <c r="AW15" i="93"/>
  <c r="AT16" i="93"/>
  <c r="AV16" i="93"/>
  <c r="AX16" i="93"/>
  <c r="AY16" i="93"/>
  <c r="AZ16" i="93"/>
  <c r="AS18" i="93"/>
  <c r="AW16" i="93"/>
  <c r="AT17" i="93"/>
  <c r="AV17" i="93"/>
  <c r="AX17" i="93"/>
  <c r="AY17" i="93"/>
  <c r="AZ17" i="93"/>
  <c r="AS19" i="93"/>
  <c r="AW17" i="93"/>
  <c r="AT18" i="93"/>
  <c r="AV18" i="93"/>
  <c r="AX18" i="93"/>
  <c r="AY18" i="93"/>
  <c r="AZ18" i="93"/>
  <c r="AS20" i="93"/>
  <c r="AW18" i="93"/>
  <c r="AT19" i="93"/>
  <c r="AV19" i="93"/>
  <c r="AW19" i="93"/>
  <c r="AX19" i="93"/>
  <c r="AY19" i="93"/>
  <c r="AZ19" i="93"/>
  <c r="AZ20" i="93"/>
  <c r="AS21" i="93"/>
  <c r="AZ21" i="93"/>
  <c r="AS22" i="93"/>
  <c r="AZ22" i="93"/>
  <c r="AS23" i="93"/>
  <c r="AZ23" i="93"/>
  <c r="AS24" i="93"/>
  <c r="AZ24" i="93"/>
  <c r="AS25" i="93"/>
  <c r="AZ25" i="93"/>
  <c r="AS26" i="93"/>
  <c r="AZ26" i="93"/>
  <c r="AS27" i="93"/>
  <c r="AZ27" i="93"/>
  <c r="AS28" i="93"/>
  <c r="AZ28" i="93"/>
  <c r="AS29" i="93"/>
  <c r="AZ29" i="93"/>
  <c r="AS30" i="93"/>
  <c r="AZ30" i="93"/>
  <c r="AS31" i="93"/>
  <c r="AZ31" i="93"/>
  <c r="AS32" i="93"/>
  <c r="AZ32" i="93"/>
  <c r="AS33" i="93"/>
  <c r="AZ33" i="93"/>
  <c r="AS34" i="93"/>
  <c r="AZ34" i="93"/>
  <c r="AS35" i="93"/>
  <c r="AZ35" i="93"/>
  <c r="AS36" i="93"/>
  <c r="AZ36" i="93"/>
  <c r="AS37" i="93"/>
  <c r="AZ37" i="93"/>
  <c r="AS38" i="93"/>
  <c r="AZ38" i="93"/>
  <c r="AS39" i="93"/>
  <c r="AZ39" i="93"/>
  <c r="AS40" i="93"/>
  <c r="AZ40" i="93"/>
  <c r="AS41" i="93"/>
  <c r="AZ41" i="93"/>
  <c r="AS42" i="93"/>
  <c r="AZ42" i="93"/>
  <c r="AS43" i="93"/>
  <c r="AZ43" i="93"/>
  <c r="AS44" i="93"/>
  <c r="AZ44" i="93"/>
  <c r="AS45" i="93"/>
  <c r="AZ45" i="93"/>
  <c r="AS46" i="93"/>
  <c r="AZ46" i="93"/>
  <c r="AS47" i="93"/>
  <c r="AZ47" i="93"/>
  <c r="AS48" i="93"/>
  <c r="AZ48" i="93"/>
  <c r="AS49" i="93"/>
  <c r="AZ49" i="93"/>
  <c r="AS50" i="93"/>
  <c r="AZ50" i="93"/>
  <c r="AS51" i="93"/>
  <c r="AZ51" i="93"/>
  <c r="AS52" i="93"/>
  <c r="AZ52" i="93"/>
  <c r="AS53" i="93"/>
  <c r="AZ53" i="93"/>
  <c r="AS54" i="93"/>
  <c r="AZ54" i="93"/>
  <c r="AS55" i="93"/>
  <c r="AZ55" i="93"/>
  <c r="AS56" i="93"/>
  <c r="AZ56" i="93"/>
  <c r="AS57" i="93"/>
  <c r="AZ57" i="93"/>
  <c r="AS58" i="93"/>
  <c r="AZ58" i="93"/>
  <c r="AS59" i="93"/>
  <c r="AZ59" i="93"/>
  <c r="AS60" i="93"/>
  <c r="AZ60" i="93"/>
  <c r="AS61" i="93"/>
  <c r="AZ61" i="93"/>
  <c r="AS62" i="93"/>
  <c r="AZ62" i="93"/>
  <c r="AS63" i="93"/>
  <c r="AZ63" i="93"/>
  <c r="AS64" i="93"/>
  <c r="AZ64" i="93"/>
  <c r="AS65" i="93"/>
  <c r="AZ65" i="93"/>
  <c r="AS66" i="93"/>
  <c r="AZ66" i="93"/>
  <c r="AS67" i="93"/>
  <c r="AZ67" i="93"/>
  <c r="AS68" i="93"/>
  <c r="AZ68" i="93"/>
  <c r="AS69" i="93"/>
  <c r="AZ69" i="93"/>
  <c r="AS70" i="93"/>
  <c r="AZ70" i="93"/>
  <c r="AS71" i="93"/>
  <c r="AZ71" i="93"/>
  <c r="AS72" i="93"/>
  <c r="AZ72" i="93"/>
  <c r="AS73" i="93"/>
  <c r="AZ73" i="93"/>
  <c r="AS74" i="93"/>
  <c r="AZ74" i="93"/>
  <c r="AS75" i="93"/>
  <c r="AZ75" i="93"/>
  <c r="AS76" i="93"/>
  <c r="AZ76" i="93"/>
  <c r="AS77" i="93"/>
  <c r="AZ77" i="93"/>
  <c r="AS78" i="93"/>
  <c r="AZ78" i="93"/>
  <c r="AS79" i="93"/>
  <c r="AZ79" i="93"/>
  <c r="AS80" i="93"/>
  <c r="AZ80" i="93"/>
  <c r="AS81" i="93"/>
  <c r="AZ81" i="93"/>
  <c r="AS82" i="93"/>
  <c r="AZ82" i="93"/>
  <c r="AS83" i="93"/>
  <c r="AZ83" i="93"/>
  <c r="AS84" i="93"/>
  <c r="AZ84" i="93"/>
  <c r="AS85" i="93"/>
  <c r="AZ85" i="93"/>
  <c r="AS86" i="93"/>
  <c r="AZ86" i="93"/>
  <c r="AS87" i="93"/>
  <c r="AZ87" i="93"/>
  <c r="AS88" i="93"/>
  <c r="AZ88" i="93"/>
  <c r="AS89" i="93"/>
  <c r="AZ89" i="93"/>
  <c r="AS90" i="93"/>
  <c r="AZ90" i="93"/>
  <c r="AS91" i="93"/>
  <c r="AZ91" i="93"/>
  <c r="AS92" i="93"/>
  <c r="AZ92" i="93"/>
  <c r="AS93" i="93"/>
  <c r="AZ93" i="93"/>
  <c r="AS94" i="93"/>
  <c r="AZ94" i="93"/>
  <c r="AS95" i="93"/>
  <c r="AZ95" i="93"/>
  <c r="AS96" i="93"/>
  <c r="AZ96" i="93"/>
  <c r="AS97" i="93"/>
  <c r="AZ97" i="93"/>
  <c r="AS98" i="93"/>
  <c r="AZ98" i="93"/>
  <c r="AS99" i="93"/>
  <c r="AZ99" i="93"/>
  <c r="AS100" i="93"/>
  <c r="AZ100" i="93"/>
  <c r="AS101" i="93"/>
  <c r="AZ101" i="93"/>
  <c r="AS102" i="93"/>
  <c r="AZ102" i="93"/>
  <c r="AS103" i="93"/>
  <c r="AZ103" i="93"/>
  <c r="AS104" i="93"/>
  <c r="AZ104" i="93"/>
  <c r="AS105" i="93"/>
  <c r="AZ105" i="93"/>
  <c r="AS106" i="93"/>
  <c r="AZ106" i="93"/>
  <c r="AS107" i="93"/>
  <c r="AZ107" i="93"/>
  <c r="AS108" i="93"/>
  <c r="AZ108" i="93"/>
  <c r="AS109" i="93"/>
  <c r="AZ109" i="93"/>
  <c r="AS110" i="93"/>
  <c r="AZ110" i="93"/>
  <c r="AS111" i="93"/>
  <c r="AZ111" i="93"/>
  <c r="BA5" i="93"/>
  <c r="R15" i="93"/>
  <c r="AX4" i="93"/>
  <c r="AY4" i="93"/>
  <c r="AZ4" i="93"/>
  <c r="S15" i="93"/>
  <c r="T15" i="93"/>
  <c r="V15" i="93"/>
  <c r="I26" i="93"/>
  <c r="G31" i="93"/>
  <c r="R6" i="95"/>
  <c r="S6" i="95"/>
  <c r="V39" i="95"/>
  <c r="U39" i="95"/>
  <c r="T6" i="95"/>
  <c r="S12" i="95"/>
  <c r="T12" i="95"/>
  <c r="I25" i="95"/>
  <c r="AS5" i="95"/>
  <c r="AS6" i="95"/>
  <c r="Q39" i="95"/>
  <c r="AT4" i="95"/>
  <c r="AU4" i="95"/>
  <c r="AT5" i="95"/>
  <c r="AV5" i="95"/>
  <c r="AX5" i="95"/>
  <c r="J39" i="95"/>
  <c r="AY5" i="95"/>
  <c r="AZ5" i="95"/>
  <c r="AS7" i="95"/>
  <c r="AW5" i="95"/>
  <c r="AT6" i="95"/>
  <c r="AV6" i="95"/>
  <c r="AX6" i="95"/>
  <c r="AY6" i="95"/>
  <c r="AZ6" i="95"/>
  <c r="AS8" i="95"/>
  <c r="AW6" i="95"/>
  <c r="AT7" i="95"/>
  <c r="AV7" i="95"/>
  <c r="AX7" i="95"/>
  <c r="AY7" i="95"/>
  <c r="AZ7" i="95"/>
  <c r="AS9" i="95"/>
  <c r="AW7" i="95"/>
  <c r="AT8" i="95"/>
  <c r="AV8" i="95"/>
  <c r="AX8" i="95"/>
  <c r="AY8" i="95"/>
  <c r="AZ8" i="95"/>
  <c r="AS10" i="95"/>
  <c r="AW8" i="95"/>
  <c r="AT9" i="95"/>
  <c r="AV9" i="95"/>
  <c r="AX9" i="95"/>
  <c r="AY9" i="95"/>
  <c r="AZ9" i="95"/>
  <c r="AS11" i="95"/>
  <c r="AW9" i="95"/>
  <c r="AT10" i="95"/>
  <c r="AV10" i="95"/>
  <c r="AX10" i="95"/>
  <c r="AY10" i="95"/>
  <c r="AZ10" i="95"/>
  <c r="AS12" i="95"/>
  <c r="AW10" i="95"/>
  <c r="AT11" i="95"/>
  <c r="AV11" i="95"/>
  <c r="AX11" i="95"/>
  <c r="AY11" i="95"/>
  <c r="AZ11" i="95"/>
  <c r="AS13" i="95"/>
  <c r="AW11" i="95"/>
  <c r="AT12" i="95"/>
  <c r="AV12" i="95"/>
  <c r="AX12" i="95"/>
  <c r="AY12" i="95"/>
  <c r="AZ12" i="95"/>
  <c r="AS14" i="95"/>
  <c r="AW12" i="95"/>
  <c r="AT13" i="95"/>
  <c r="AV13" i="95"/>
  <c r="AX13" i="95"/>
  <c r="AY13" i="95"/>
  <c r="AZ13" i="95"/>
  <c r="AS15" i="95"/>
  <c r="AW13" i="95"/>
  <c r="AT14" i="95"/>
  <c r="AV14" i="95"/>
  <c r="AX14" i="95"/>
  <c r="AY14" i="95"/>
  <c r="AZ14" i="95"/>
  <c r="AS16" i="95"/>
  <c r="AW14" i="95"/>
  <c r="AT15" i="95"/>
  <c r="AV15" i="95"/>
  <c r="AX15" i="95"/>
  <c r="AY15" i="95"/>
  <c r="AZ15" i="95"/>
  <c r="AS17" i="95"/>
  <c r="AW15" i="95"/>
  <c r="AT16" i="95"/>
  <c r="AV16" i="95"/>
  <c r="AX16" i="95"/>
  <c r="AY16" i="95"/>
  <c r="AZ16" i="95"/>
  <c r="AS18" i="95"/>
  <c r="AW16" i="95"/>
  <c r="AT17" i="95"/>
  <c r="AV17" i="95"/>
  <c r="AX17" i="95"/>
  <c r="AY17" i="95"/>
  <c r="AZ17" i="95"/>
  <c r="AS19" i="95"/>
  <c r="AW17" i="95"/>
  <c r="AT18" i="95"/>
  <c r="AV18" i="95"/>
  <c r="AX18" i="95"/>
  <c r="AY18" i="95"/>
  <c r="AZ18" i="95"/>
  <c r="AS20" i="95"/>
  <c r="AW18" i="95"/>
  <c r="AT19" i="95"/>
  <c r="AV19" i="95"/>
  <c r="AX19" i="95"/>
  <c r="AY19" i="95"/>
  <c r="AZ19" i="95"/>
  <c r="AS21" i="95"/>
  <c r="AW19" i="95"/>
  <c r="AT20" i="95"/>
  <c r="AV20" i="95"/>
  <c r="AX20" i="95"/>
  <c r="AY20" i="95"/>
  <c r="AZ20" i="95"/>
  <c r="AS22" i="95"/>
  <c r="AW20" i="95"/>
  <c r="AT21" i="95"/>
  <c r="AV21" i="95"/>
  <c r="AX21" i="95"/>
  <c r="AY21" i="95"/>
  <c r="AZ21" i="95"/>
  <c r="AS23" i="95"/>
  <c r="AW21" i="95"/>
  <c r="AT22" i="95"/>
  <c r="AV22" i="95"/>
  <c r="AX22" i="95"/>
  <c r="AY22" i="95"/>
  <c r="AZ22" i="95"/>
  <c r="AS24" i="95"/>
  <c r="AW22" i="95"/>
  <c r="AT23" i="95"/>
  <c r="AV23" i="95"/>
  <c r="AX23" i="95"/>
  <c r="AY23" i="95"/>
  <c r="AZ23" i="95"/>
  <c r="AS25" i="95"/>
  <c r="AW23" i="95"/>
  <c r="AT24" i="95"/>
  <c r="AV24" i="95"/>
  <c r="AW24" i="95"/>
  <c r="AX24" i="95"/>
  <c r="AY24" i="95"/>
  <c r="AZ24" i="95"/>
  <c r="AZ25" i="95"/>
  <c r="AS26" i="95"/>
  <c r="AZ26" i="95"/>
  <c r="AS27" i="95"/>
  <c r="AZ27" i="95"/>
  <c r="AS28" i="95"/>
  <c r="AZ28" i="95"/>
  <c r="AS29" i="95"/>
  <c r="AZ29" i="95"/>
  <c r="AS30" i="95"/>
  <c r="AZ30" i="95"/>
  <c r="AS31" i="95"/>
  <c r="AZ31" i="95"/>
  <c r="AS32" i="95"/>
  <c r="AZ32" i="95"/>
  <c r="AS33" i="95"/>
  <c r="AZ33" i="95"/>
  <c r="AS34" i="95"/>
  <c r="AZ34" i="95"/>
  <c r="AS35" i="95"/>
  <c r="AZ35" i="95"/>
  <c r="AS36" i="95"/>
  <c r="AZ36" i="95"/>
  <c r="AS37" i="95"/>
  <c r="AZ37" i="95"/>
  <c r="AS38" i="95"/>
  <c r="AZ38" i="95"/>
  <c r="AS39" i="95"/>
  <c r="AZ39" i="95"/>
  <c r="AS40" i="95"/>
  <c r="AZ40" i="95"/>
  <c r="AS41" i="95"/>
  <c r="AZ41" i="95"/>
  <c r="AS42" i="95"/>
  <c r="AZ42" i="95"/>
  <c r="AS43" i="95"/>
  <c r="AZ43" i="95"/>
  <c r="AS44" i="95"/>
  <c r="AZ44" i="95"/>
  <c r="AS45" i="95"/>
  <c r="AZ45" i="95"/>
  <c r="AS46" i="95"/>
  <c r="AZ46" i="95"/>
  <c r="AS47" i="95"/>
  <c r="AZ47" i="95"/>
  <c r="AS48" i="95"/>
  <c r="AZ48" i="95"/>
  <c r="AS49" i="95"/>
  <c r="AZ49" i="95"/>
  <c r="AS50" i="95"/>
  <c r="AZ50" i="95"/>
  <c r="AS51" i="95"/>
  <c r="AZ51" i="95"/>
  <c r="AS52" i="95"/>
  <c r="AZ52" i="95"/>
  <c r="AS53" i="95"/>
  <c r="AZ53" i="95"/>
  <c r="AS54" i="95"/>
  <c r="AZ54" i="95"/>
  <c r="AS55" i="95"/>
  <c r="AZ55" i="95"/>
  <c r="AS56" i="95"/>
  <c r="AZ56" i="95"/>
  <c r="AS57" i="95"/>
  <c r="AZ57" i="95"/>
  <c r="AS58" i="95"/>
  <c r="AZ58" i="95"/>
  <c r="AS59" i="95"/>
  <c r="AZ59" i="95"/>
  <c r="AS60" i="95"/>
  <c r="AZ60" i="95"/>
  <c r="AS61" i="95"/>
  <c r="AZ61" i="95"/>
  <c r="AS62" i="95"/>
  <c r="AZ62" i="95"/>
  <c r="AS63" i="95"/>
  <c r="AZ63" i="95"/>
  <c r="AS64" i="95"/>
  <c r="AZ64" i="95"/>
  <c r="AS65" i="95"/>
  <c r="AZ65" i="95"/>
  <c r="AS66" i="95"/>
  <c r="AZ66" i="95"/>
  <c r="AS67" i="95"/>
  <c r="AZ67" i="95"/>
  <c r="AS68" i="95"/>
  <c r="AZ68" i="95"/>
  <c r="AS69" i="95"/>
  <c r="AZ69" i="95"/>
  <c r="AS70" i="95"/>
  <c r="AZ70" i="95"/>
  <c r="AS71" i="95"/>
  <c r="AZ71" i="95"/>
  <c r="AS72" i="95"/>
  <c r="AZ72" i="95"/>
  <c r="AS73" i="95"/>
  <c r="AZ73" i="95"/>
  <c r="AS74" i="95"/>
  <c r="AZ74" i="95"/>
  <c r="AS75" i="95"/>
  <c r="AZ75" i="95"/>
  <c r="AS76" i="95"/>
  <c r="AZ76" i="95"/>
  <c r="AS77" i="95"/>
  <c r="AZ77" i="95"/>
  <c r="AS78" i="95"/>
  <c r="AZ78" i="95"/>
  <c r="AS79" i="95"/>
  <c r="AZ79" i="95"/>
  <c r="AS80" i="95"/>
  <c r="AZ80" i="95"/>
  <c r="AS81" i="95"/>
  <c r="AZ81" i="95"/>
  <c r="AS82" i="95"/>
  <c r="AZ82" i="95"/>
  <c r="AS83" i="95"/>
  <c r="AZ83" i="95"/>
  <c r="AS84" i="95"/>
  <c r="AZ84" i="95"/>
  <c r="AS85" i="95"/>
  <c r="AZ85" i="95"/>
  <c r="AS86" i="95"/>
  <c r="AZ86" i="95"/>
  <c r="AS87" i="95"/>
  <c r="AZ87" i="95"/>
  <c r="AS88" i="95"/>
  <c r="AZ88" i="95"/>
  <c r="AS89" i="95"/>
  <c r="AZ89" i="95"/>
  <c r="AS90" i="95"/>
  <c r="AZ90" i="95"/>
  <c r="AS91" i="95"/>
  <c r="AZ91" i="95"/>
  <c r="AS92" i="95"/>
  <c r="AZ92" i="95"/>
  <c r="AS93" i="95"/>
  <c r="AZ93" i="95"/>
  <c r="AS94" i="95"/>
  <c r="AZ94" i="95"/>
  <c r="AS95" i="95"/>
  <c r="AZ95" i="95"/>
  <c r="AS96" i="95"/>
  <c r="AZ96" i="95"/>
  <c r="AS97" i="95"/>
  <c r="AZ97" i="95"/>
  <c r="AS98" i="95"/>
  <c r="AZ98" i="95"/>
  <c r="AS99" i="95"/>
  <c r="AZ99" i="95"/>
  <c r="AS100" i="95"/>
  <c r="AZ100" i="95"/>
  <c r="AS101" i="95"/>
  <c r="AZ101" i="95"/>
  <c r="AS102" i="95"/>
  <c r="AZ102" i="95"/>
  <c r="AS103" i="95"/>
  <c r="AZ103" i="95"/>
  <c r="AS104" i="95"/>
  <c r="AZ104" i="95"/>
  <c r="AS105" i="95"/>
  <c r="AZ105" i="95"/>
  <c r="AS106" i="95"/>
  <c r="AZ106" i="95"/>
  <c r="AS107" i="95"/>
  <c r="AZ107" i="95"/>
  <c r="AS108" i="95"/>
  <c r="AZ108" i="95"/>
  <c r="AS109" i="95"/>
  <c r="AZ109" i="95"/>
  <c r="AS110" i="95"/>
  <c r="AZ110" i="95"/>
  <c r="AS111" i="95"/>
  <c r="AZ111" i="95"/>
  <c r="BA5" i="95"/>
  <c r="R15" i="95"/>
  <c r="AX4" i="95"/>
  <c r="AY4" i="95"/>
  <c r="AZ4" i="95"/>
  <c r="S15" i="95"/>
  <c r="T15" i="95"/>
  <c r="V15" i="95"/>
  <c r="I26" i="95"/>
  <c r="G31" i="95"/>
  <c r="R6" i="94"/>
  <c r="S6" i="94"/>
  <c r="V39" i="94"/>
  <c r="U39" i="94"/>
  <c r="T6" i="94"/>
  <c r="S12" i="94"/>
  <c r="T12" i="94"/>
  <c r="I25" i="94"/>
  <c r="AS5" i="94"/>
  <c r="AS6" i="94"/>
  <c r="Q39" i="94"/>
  <c r="AT4" i="94"/>
  <c r="AU4" i="94"/>
  <c r="AT5" i="94"/>
  <c r="AV5" i="94"/>
  <c r="AX5" i="94"/>
  <c r="J39" i="94"/>
  <c r="AY5" i="94"/>
  <c r="AZ5" i="94"/>
  <c r="AS7" i="94"/>
  <c r="AW5" i="94"/>
  <c r="AT6" i="94"/>
  <c r="AV6" i="94"/>
  <c r="AX6" i="94"/>
  <c r="AY6" i="94"/>
  <c r="AZ6" i="94"/>
  <c r="AS8" i="94"/>
  <c r="AW6" i="94"/>
  <c r="AT7" i="94"/>
  <c r="AV7" i="94"/>
  <c r="AX7" i="94"/>
  <c r="AY7" i="94"/>
  <c r="AZ7" i="94"/>
  <c r="AS9" i="94"/>
  <c r="AW7" i="94"/>
  <c r="AT8" i="94"/>
  <c r="AV8" i="94"/>
  <c r="AX8" i="94"/>
  <c r="AY8" i="94"/>
  <c r="AZ8" i="94"/>
  <c r="AS10" i="94"/>
  <c r="AW8" i="94"/>
  <c r="AT9" i="94"/>
  <c r="AV9" i="94"/>
  <c r="AX9" i="94"/>
  <c r="AY9" i="94"/>
  <c r="AZ9" i="94"/>
  <c r="AS11" i="94"/>
  <c r="AW9" i="94"/>
  <c r="AT10" i="94"/>
  <c r="AV10" i="94"/>
  <c r="AX10" i="94"/>
  <c r="AY10" i="94"/>
  <c r="AZ10" i="94"/>
  <c r="AS12" i="94"/>
  <c r="AW10" i="94"/>
  <c r="AT11" i="94"/>
  <c r="AV11" i="94"/>
  <c r="AX11" i="94"/>
  <c r="AY11" i="94"/>
  <c r="AZ11" i="94"/>
  <c r="AS13" i="94"/>
  <c r="AW11" i="94"/>
  <c r="AT12" i="94"/>
  <c r="AV12" i="94"/>
  <c r="AX12" i="94"/>
  <c r="AY12" i="94"/>
  <c r="AZ12" i="94"/>
  <c r="AS14" i="94"/>
  <c r="AW12" i="94"/>
  <c r="AT13" i="94"/>
  <c r="AV13" i="94"/>
  <c r="AX13" i="94"/>
  <c r="AY13" i="94"/>
  <c r="AZ13" i="94"/>
  <c r="AS15" i="94"/>
  <c r="AW13" i="94"/>
  <c r="AT14" i="94"/>
  <c r="AV14" i="94"/>
  <c r="AX14" i="94"/>
  <c r="AY14" i="94"/>
  <c r="AZ14" i="94"/>
  <c r="AS16" i="94"/>
  <c r="AW14" i="94"/>
  <c r="AT15" i="94"/>
  <c r="AV15" i="94"/>
  <c r="AX15" i="94"/>
  <c r="AY15" i="94"/>
  <c r="AZ15" i="94"/>
  <c r="AS17" i="94"/>
  <c r="AW15" i="94"/>
  <c r="AT16" i="94"/>
  <c r="AV16" i="94"/>
  <c r="AX16" i="94"/>
  <c r="AY16" i="94"/>
  <c r="AZ16" i="94"/>
  <c r="AS18" i="94"/>
  <c r="AW16" i="94"/>
  <c r="AT17" i="94"/>
  <c r="AV17" i="94"/>
  <c r="AX17" i="94"/>
  <c r="AY17" i="94"/>
  <c r="AZ17" i="94"/>
  <c r="AS19" i="94"/>
  <c r="AW17" i="94"/>
  <c r="AT18" i="94"/>
  <c r="AV18" i="94"/>
  <c r="AX18" i="94"/>
  <c r="AY18" i="94"/>
  <c r="AZ18" i="94"/>
  <c r="AS20" i="94"/>
  <c r="AW18" i="94"/>
  <c r="AT19" i="94"/>
  <c r="AV19" i="94"/>
  <c r="AX19" i="94"/>
  <c r="AY19" i="94"/>
  <c r="AZ19" i="94"/>
  <c r="AS21" i="94"/>
  <c r="AW19" i="94"/>
  <c r="AT20" i="94"/>
  <c r="AV20" i="94"/>
  <c r="AX20" i="94"/>
  <c r="AY20" i="94"/>
  <c r="AZ20" i="94"/>
  <c r="AS22" i="94"/>
  <c r="AW20" i="94"/>
  <c r="AT21" i="94"/>
  <c r="AV21" i="94"/>
  <c r="AX21" i="94"/>
  <c r="AY21" i="94"/>
  <c r="AZ21" i="94"/>
  <c r="AS23" i="94"/>
  <c r="AW21" i="94"/>
  <c r="AT22" i="94"/>
  <c r="AV22" i="94"/>
  <c r="AX22" i="94"/>
  <c r="AY22" i="94"/>
  <c r="AZ22" i="94"/>
  <c r="AS24" i="94"/>
  <c r="AW22" i="94"/>
  <c r="AT23" i="94"/>
  <c r="AV23" i="94"/>
  <c r="AX23" i="94"/>
  <c r="AY23" i="94"/>
  <c r="AZ23" i="94"/>
  <c r="AS25" i="94"/>
  <c r="AW23" i="94"/>
  <c r="AT24" i="94"/>
  <c r="AV24" i="94"/>
  <c r="AW24" i="94"/>
  <c r="AX24" i="94"/>
  <c r="AY24" i="94"/>
  <c r="AZ24" i="94"/>
  <c r="AZ25" i="94"/>
  <c r="AS26" i="94"/>
  <c r="AZ26" i="94"/>
  <c r="AS27" i="94"/>
  <c r="AZ27" i="94"/>
  <c r="AS28" i="94"/>
  <c r="AZ28" i="94"/>
  <c r="AS29" i="94"/>
  <c r="AZ29" i="94"/>
  <c r="AS30" i="94"/>
  <c r="AZ30" i="94"/>
  <c r="AS31" i="94"/>
  <c r="AZ31" i="94"/>
  <c r="AS32" i="94"/>
  <c r="AZ32" i="94"/>
  <c r="AS33" i="94"/>
  <c r="AZ33" i="94"/>
  <c r="AS34" i="94"/>
  <c r="AZ34" i="94"/>
  <c r="AS35" i="94"/>
  <c r="AZ35" i="94"/>
  <c r="AS36" i="94"/>
  <c r="AZ36" i="94"/>
  <c r="AS37" i="94"/>
  <c r="AZ37" i="94"/>
  <c r="AS38" i="94"/>
  <c r="AZ38" i="94"/>
  <c r="AS39" i="94"/>
  <c r="AZ39" i="94"/>
  <c r="AS40" i="94"/>
  <c r="AZ40" i="94"/>
  <c r="AS41" i="94"/>
  <c r="AZ41" i="94"/>
  <c r="AS42" i="94"/>
  <c r="AZ42" i="94"/>
  <c r="AS43" i="94"/>
  <c r="AZ43" i="94"/>
  <c r="AS44" i="94"/>
  <c r="AZ44" i="94"/>
  <c r="AS45" i="94"/>
  <c r="AZ45" i="94"/>
  <c r="AS46" i="94"/>
  <c r="AZ46" i="94"/>
  <c r="AS47" i="94"/>
  <c r="AZ47" i="94"/>
  <c r="AS48" i="94"/>
  <c r="AZ48" i="94"/>
  <c r="AS49" i="94"/>
  <c r="AZ49" i="94"/>
  <c r="AS50" i="94"/>
  <c r="AZ50" i="94"/>
  <c r="AS51" i="94"/>
  <c r="AZ51" i="94"/>
  <c r="AS52" i="94"/>
  <c r="AZ52" i="94"/>
  <c r="AS53" i="94"/>
  <c r="AZ53" i="94"/>
  <c r="AS54" i="94"/>
  <c r="AZ54" i="94"/>
  <c r="AS55" i="94"/>
  <c r="AZ55" i="94"/>
  <c r="AS56" i="94"/>
  <c r="AZ56" i="94"/>
  <c r="AS57" i="94"/>
  <c r="AZ57" i="94"/>
  <c r="AS58" i="94"/>
  <c r="AZ58" i="94"/>
  <c r="AS59" i="94"/>
  <c r="AZ59" i="94"/>
  <c r="AS60" i="94"/>
  <c r="AZ60" i="94"/>
  <c r="AS61" i="94"/>
  <c r="AZ61" i="94"/>
  <c r="AS62" i="94"/>
  <c r="AZ62" i="94"/>
  <c r="AS63" i="94"/>
  <c r="AZ63" i="94"/>
  <c r="AS64" i="94"/>
  <c r="AZ64" i="94"/>
  <c r="AS65" i="94"/>
  <c r="AZ65" i="94"/>
  <c r="AS66" i="94"/>
  <c r="AZ66" i="94"/>
  <c r="AS67" i="94"/>
  <c r="AZ67" i="94"/>
  <c r="AS68" i="94"/>
  <c r="AZ68" i="94"/>
  <c r="AS69" i="94"/>
  <c r="AZ69" i="94"/>
  <c r="AS70" i="94"/>
  <c r="AZ70" i="94"/>
  <c r="AS71" i="94"/>
  <c r="AZ71" i="94"/>
  <c r="AS72" i="94"/>
  <c r="AZ72" i="94"/>
  <c r="AS73" i="94"/>
  <c r="AZ73" i="94"/>
  <c r="AS74" i="94"/>
  <c r="AZ74" i="94"/>
  <c r="AS75" i="94"/>
  <c r="AZ75" i="94"/>
  <c r="AS76" i="94"/>
  <c r="AZ76" i="94"/>
  <c r="AS77" i="94"/>
  <c r="AZ77" i="94"/>
  <c r="AS78" i="94"/>
  <c r="AZ78" i="94"/>
  <c r="AS79" i="94"/>
  <c r="AZ79" i="94"/>
  <c r="AS80" i="94"/>
  <c r="AZ80" i="94"/>
  <c r="AS81" i="94"/>
  <c r="AZ81" i="94"/>
  <c r="AS82" i="94"/>
  <c r="AZ82" i="94"/>
  <c r="AS83" i="94"/>
  <c r="AZ83" i="94"/>
  <c r="AS84" i="94"/>
  <c r="AZ84" i="94"/>
  <c r="AS85" i="94"/>
  <c r="AZ85" i="94"/>
  <c r="AS86" i="94"/>
  <c r="AZ86" i="94"/>
  <c r="AS87" i="94"/>
  <c r="AZ87" i="94"/>
  <c r="AS88" i="94"/>
  <c r="AZ88" i="94"/>
  <c r="AS89" i="94"/>
  <c r="AZ89" i="94"/>
  <c r="AS90" i="94"/>
  <c r="AZ90" i="94"/>
  <c r="AS91" i="94"/>
  <c r="AZ91" i="94"/>
  <c r="AS92" i="94"/>
  <c r="AZ92" i="94"/>
  <c r="AS93" i="94"/>
  <c r="AZ93" i="94"/>
  <c r="AS94" i="94"/>
  <c r="AZ94" i="94"/>
  <c r="AS95" i="94"/>
  <c r="AZ95" i="94"/>
  <c r="AS96" i="94"/>
  <c r="AZ96" i="94"/>
  <c r="AS97" i="94"/>
  <c r="AZ97" i="94"/>
  <c r="AS98" i="94"/>
  <c r="AZ98" i="94"/>
  <c r="AS99" i="94"/>
  <c r="AZ99" i="94"/>
  <c r="AS100" i="94"/>
  <c r="AZ100" i="94"/>
  <c r="AS101" i="94"/>
  <c r="AZ101" i="94"/>
  <c r="AS102" i="94"/>
  <c r="AZ102" i="94"/>
  <c r="AS103" i="94"/>
  <c r="AZ103" i="94"/>
  <c r="AS104" i="94"/>
  <c r="AZ104" i="94"/>
  <c r="AS105" i="94"/>
  <c r="AZ105" i="94"/>
  <c r="AS106" i="94"/>
  <c r="AZ106" i="94"/>
  <c r="AS107" i="94"/>
  <c r="AZ107" i="94"/>
  <c r="AS108" i="94"/>
  <c r="AZ108" i="94"/>
  <c r="AS109" i="94"/>
  <c r="AZ109" i="94"/>
  <c r="AS110" i="94"/>
  <c r="AZ110" i="94"/>
  <c r="AS111" i="94"/>
  <c r="AZ111" i="94"/>
  <c r="BA5" i="94"/>
  <c r="R15" i="94"/>
  <c r="AX4" i="94"/>
  <c r="AY4" i="94"/>
  <c r="AZ4" i="94"/>
  <c r="S15" i="94"/>
  <c r="T15" i="94"/>
  <c r="V15" i="94"/>
  <c r="I26" i="94"/>
  <c r="G31" i="94"/>
  <c r="R6" i="87"/>
  <c r="S6" i="87"/>
  <c r="V39" i="87"/>
  <c r="U39" i="87"/>
  <c r="T6" i="87"/>
  <c r="S12" i="87"/>
  <c r="T12" i="87"/>
  <c r="R39" i="87"/>
  <c r="S28" i="87"/>
  <c r="R6" i="92"/>
  <c r="S6" i="92"/>
  <c r="V39" i="92"/>
  <c r="U39" i="92"/>
  <c r="T6" i="92"/>
  <c r="S12" i="92"/>
  <c r="T12" i="92"/>
  <c r="I25" i="92"/>
  <c r="AS5" i="92"/>
  <c r="AS6" i="92"/>
  <c r="Q39" i="92"/>
  <c r="AT4" i="92"/>
  <c r="AU4" i="92"/>
  <c r="AT5" i="92"/>
  <c r="AV5" i="92"/>
  <c r="AX5" i="92"/>
  <c r="J39" i="92"/>
  <c r="AY5" i="92"/>
  <c r="AZ5" i="92"/>
  <c r="AS7" i="92"/>
  <c r="AW5" i="92"/>
  <c r="AT6" i="92"/>
  <c r="AV6" i="92"/>
  <c r="AX6" i="92"/>
  <c r="AY6" i="92"/>
  <c r="AZ6" i="92"/>
  <c r="AS8" i="92"/>
  <c r="AW6" i="92"/>
  <c r="AT7" i="92"/>
  <c r="AV7" i="92"/>
  <c r="AX7" i="92"/>
  <c r="AY7" i="92"/>
  <c r="AZ7" i="92"/>
  <c r="AS9" i="92"/>
  <c r="AW7" i="92"/>
  <c r="AT8" i="92"/>
  <c r="AV8" i="92"/>
  <c r="AX8" i="92"/>
  <c r="AY8" i="92"/>
  <c r="AZ8" i="92"/>
  <c r="AS10" i="92"/>
  <c r="AW8" i="92"/>
  <c r="AT9" i="92"/>
  <c r="AV9" i="92"/>
  <c r="AX9" i="92"/>
  <c r="AY9" i="92"/>
  <c r="AZ9" i="92"/>
  <c r="AS11" i="92"/>
  <c r="AW9" i="92"/>
  <c r="AT10" i="92"/>
  <c r="AV10" i="92"/>
  <c r="AX10" i="92"/>
  <c r="AY10" i="92"/>
  <c r="AZ10" i="92"/>
  <c r="AS12" i="92"/>
  <c r="AW10" i="92"/>
  <c r="AT11" i="92"/>
  <c r="AV11" i="92"/>
  <c r="AX11" i="92"/>
  <c r="AY11" i="92"/>
  <c r="AZ11" i="92"/>
  <c r="AS13" i="92"/>
  <c r="AW11" i="92"/>
  <c r="AT12" i="92"/>
  <c r="AV12" i="92"/>
  <c r="AX12" i="92"/>
  <c r="AY12" i="92"/>
  <c r="AZ12" i="92"/>
  <c r="AS14" i="92"/>
  <c r="AW12" i="92"/>
  <c r="AT13" i="92"/>
  <c r="AV13" i="92"/>
  <c r="AX13" i="92"/>
  <c r="AY13" i="92"/>
  <c r="AZ13" i="92"/>
  <c r="AS15" i="92"/>
  <c r="AW13" i="92"/>
  <c r="AT14" i="92"/>
  <c r="AV14" i="92"/>
  <c r="AX14" i="92"/>
  <c r="AY14" i="92"/>
  <c r="AZ14" i="92"/>
  <c r="AS16" i="92"/>
  <c r="AW14" i="92"/>
  <c r="AT15" i="92"/>
  <c r="AV15" i="92"/>
  <c r="AX15" i="92"/>
  <c r="AY15" i="92"/>
  <c r="AZ15" i="92"/>
  <c r="AS17" i="92"/>
  <c r="AW15" i="92"/>
  <c r="AT16" i="92"/>
  <c r="AV16" i="92"/>
  <c r="AX16" i="92"/>
  <c r="AY16" i="92"/>
  <c r="AZ16" i="92"/>
  <c r="AS18" i="92"/>
  <c r="AW16" i="92"/>
  <c r="AT17" i="92"/>
  <c r="AV17" i="92"/>
  <c r="AX17" i="92"/>
  <c r="AY17" i="92"/>
  <c r="AZ17" i="92"/>
  <c r="AS19" i="92"/>
  <c r="AW17" i="92"/>
  <c r="AT18" i="92"/>
  <c r="AV18" i="92"/>
  <c r="AX18" i="92"/>
  <c r="AY18" i="92"/>
  <c r="AZ18" i="92"/>
  <c r="AS20" i="92"/>
  <c r="AW18" i="92"/>
  <c r="AT19" i="92"/>
  <c r="AV19" i="92"/>
  <c r="AX19" i="92"/>
  <c r="AY19" i="92"/>
  <c r="AZ19" i="92"/>
  <c r="AS21" i="92"/>
  <c r="AW19" i="92"/>
  <c r="AT20" i="92"/>
  <c r="AV20" i="92"/>
  <c r="AX20" i="92"/>
  <c r="AY20" i="92"/>
  <c r="AZ20" i="92"/>
  <c r="AS22" i="92"/>
  <c r="AW20" i="92"/>
  <c r="AT21" i="92"/>
  <c r="AV21" i="92"/>
  <c r="AX21" i="92"/>
  <c r="AY21" i="92"/>
  <c r="AZ21" i="92"/>
  <c r="AS23" i="92"/>
  <c r="AW21" i="92"/>
  <c r="AT22" i="92"/>
  <c r="AV22" i="92"/>
  <c r="AX22" i="92"/>
  <c r="AY22" i="92"/>
  <c r="AZ22" i="92"/>
  <c r="AS24" i="92"/>
  <c r="AW22" i="92"/>
  <c r="AT23" i="92"/>
  <c r="AV23" i="92"/>
  <c r="AX23" i="92"/>
  <c r="AY23" i="92"/>
  <c r="AZ23" i="92"/>
  <c r="AS25" i="92"/>
  <c r="AW23" i="92"/>
  <c r="AT24" i="92"/>
  <c r="AV24" i="92"/>
  <c r="AW24" i="92"/>
  <c r="AX24" i="92"/>
  <c r="AY24" i="92"/>
  <c r="AZ24" i="92"/>
  <c r="AZ25" i="92"/>
  <c r="AS26" i="92"/>
  <c r="AZ26" i="92"/>
  <c r="AS27" i="92"/>
  <c r="AZ27" i="92"/>
  <c r="AS28" i="92"/>
  <c r="AZ28" i="92"/>
  <c r="AS29" i="92"/>
  <c r="AZ29" i="92"/>
  <c r="AS30" i="92"/>
  <c r="AZ30" i="92"/>
  <c r="AS31" i="92"/>
  <c r="AZ31" i="92"/>
  <c r="AS32" i="92"/>
  <c r="AZ32" i="92"/>
  <c r="AS33" i="92"/>
  <c r="AZ33" i="92"/>
  <c r="AS34" i="92"/>
  <c r="AZ34" i="92"/>
  <c r="AS35" i="92"/>
  <c r="AZ35" i="92"/>
  <c r="AS36" i="92"/>
  <c r="AZ36" i="92"/>
  <c r="AS37" i="92"/>
  <c r="AZ37" i="92"/>
  <c r="AS38" i="92"/>
  <c r="AZ38" i="92"/>
  <c r="AS39" i="92"/>
  <c r="AZ39" i="92"/>
  <c r="AS40" i="92"/>
  <c r="AZ40" i="92"/>
  <c r="AS41" i="92"/>
  <c r="AZ41" i="92"/>
  <c r="AS42" i="92"/>
  <c r="AZ42" i="92"/>
  <c r="AS43" i="92"/>
  <c r="AZ43" i="92"/>
  <c r="AS44" i="92"/>
  <c r="AZ44" i="92"/>
  <c r="AS45" i="92"/>
  <c r="AZ45" i="92"/>
  <c r="AS46" i="92"/>
  <c r="AZ46" i="92"/>
  <c r="AS47" i="92"/>
  <c r="AZ47" i="92"/>
  <c r="AS48" i="92"/>
  <c r="AZ48" i="92"/>
  <c r="AS49" i="92"/>
  <c r="AZ49" i="92"/>
  <c r="AS50" i="92"/>
  <c r="AZ50" i="92"/>
  <c r="AS51" i="92"/>
  <c r="AZ51" i="92"/>
  <c r="AS52" i="92"/>
  <c r="AZ52" i="92"/>
  <c r="AS53" i="92"/>
  <c r="AZ53" i="92"/>
  <c r="AS54" i="92"/>
  <c r="AZ54" i="92"/>
  <c r="AS55" i="92"/>
  <c r="AZ55" i="92"/>
  <c r="AS56" i="92"/>
  <c r="AZ56" i="92"/>
  <c r="AS57" i="92"/>
  <c r="AZ57" i="92"/>
  <c r="AS58" i="92"/>
  <c r="AZ58" i="92"/>
  <c r="AS59" i="92"/>
  <c r="AZ59" i="92"/>
  <c r="AS60" i="92"/>
  <c r="AZ60" i="92"/>
  <c r="AS61" i="92"/>
  <c r="AZ61" i="92"/>
  <c r="AS62" i="92"/>
  <c r="AZ62" i="92"/>
  <c r="AS63" i="92"/>
  <c r="AZ63" i="92"/>
  <c r="AS64" i="92"/>
  <c r="AZ64" i="92"/>
  <c r="AS65" i="92"/>
  <c r="AZ65" i="92"/>
  <c r="AS66" i="92"/>
  <c r="AZ66" i="92"/>
  <c r="AS67" i="92"/>
  <c r="AZ67" i="92"/>
  <c r="AS68" i="92"/>
  <c r="AZ68" i="92"/>
  <c r="AS69" i="92"/>
  <c r="AZ69" i="92"/>
  <c r="AS70" i="92"/>
  <c r="AZ70" i="92"/>
  <c r="AS71" i="92"/>
  <c r="AZ71" i="92"/>
  <c r="AS72" i="92"/>
  <c r="AZ72" i="92"/>
  <c r="AS73" i="92"/>
  <c r="AZ73" i="92"/>
  <c r="AS74" i="92"/>
  <c r="AZ74" i="92"/>
  <c r="AS75" i="92"/>
  <c r="AZ75" i="92"/>
  <c r="AS76" i="92"/>
  <c r="AZ76" i="92"/>
  <c r="AS77" i="92"/>
  <c r="AZ77" i="92"/>
  <c r="AS78" i="92"/>
  <c r="AZ78" i="92"/>
  <c r="AS79" i="92"/>
  <c r="AZ79" i="92"/>
  <c r="AS80" i="92"/>
  <c r="AZ80" i="92"/>
  <c r="AS81" i="92"/>
  <c r="AZ81" i="92"/>
  <c r="AS82" i="92"/>
  <c r="AZ82" i="92"/>
  <c r="AS83" i="92"/>
  <c r="AZ83" i="92"/>
  <c r="AS84" i="92"/>
  <c r="AZ84" i="92"/>
  <c r="AS85" i="92"/>
  <c r="AZ85" i="92"/>
  <c r="AS86" i="92"/>
  <c r="AZ86" i="92"/>
  <c r="AS87" i="92"/>
  <c r="AZ87" i="92"/>
  <c r="AS88" i="92"/>
  <c r="AZ88" i="92"/>
  <c r="AS89" i="92"/>
  <c r="AZ89" i="92"/>
  <c r="AS90" i="92"/>
  <c r="AZ90" i="92"/>
  <c r="AS91" i="92"/>
  <c r="AZ91" i="92"/>
  <c r="AS92" i="92"/>
  <c r="AZ92" i="92"/>
  <c r="AS93" i="92"/>
  <c r="AZ93" i="92"/>
  <c r="AS94" i="92"/>
  <c r="AZ94" i="92"/>
  <c r="AS95" i="92"/>
  <c r="AZ95" i="92"/>
  <c r="AS96" i="92"/>
  <c r="AZ96" i="92"/>
  <c r="AS97" i="92"/>
  <c r="AZ97" i="92"/>
  <c r="AS98" i="92"/>
  <c r="AZ98" i="92"/>
  <c r="AS99" i="92"/>
  <c r="AZ99" i="92"/>
  <c r="AS100" i="92"/>
  <c r="AZ100" i="92"/>
  <c r="AS101" i="92"/>
  <c r="AZ101" i="92"/>
  <c r="AS102" i="92"/>
  <c r="AZ102" i="92"/>
  <c r="AS103" i="92"/>
  <c r="AZ103" i="92"/>
  <c r="AS104" i="92"/>
  <c r="AZ104" i="92"/>
  <c r="AS105" i="92"/>
  <c r="AZ105" i="92"/>
  <c r="AS106" i="92"/>
  <c r="AZ106" i="92"/>
  <c r="AS107" i="92"/>
  <c r="AZ107" i="92"/>
  <c r="AS108" i="92"/>
  <c r="AZ108" i="92"/>
  <c r="AS109" i="92"/>
  <c r="AZ109" i="92"/>
  <c r="AS110" i="92"/>
  <c r="AZ110" i="92"/>
  <c r="AS111" i="92"/>
  <c r="AZ111" i="92"/>
  <c r="BA5" i="92"/>
  <c r="R15" i="92"/>
  <c r="AX4" i="92"/>
  <c r="AY4" i="92"/>
  <c r="AZ4" i="92"/>
  <c r="S15" i="92"/>
  <c r="T15" i="92"/>
  <c r="V15" i="92"/>
  <c r="I26" i="92"/>
  <c r="G31" i="92"/>
  <c r="R6" i="90"/>
  <c r="S6" i="90"/>
  <c r="V39" i="90"/>
  <c r="U39" i="90"/>
  <c r="T6" i="90"/>
  <c r="S12" i="90"/>
  <c r="T12" i="90"/>
  <c r="I25" i="90"/>
  <c r="AS5" i="90"/>
  <c r="AS6" i="90"/>
  <c r="Q39" i="90"/>
  <c r="AT4" i="90"/>
  <c r="AU4" i="90"/>
  <c r="AT5" i="90"/>
  <c r="AV5" i="90"/>
  <c r="AX5" i="90"/>
  <c r="J39" i="90"/>
  <c r="AY5" i="90"/>
  <c r="AZ5" i="90"/>
  <c r="AS7" i="90"/>
  <c r="AW5" i="90"/>
  <c r="AT6" i="90"/>
  <c r="AV6" i="90"/>
  <c r="AX6" i="90"/>
  <c r="AY6" i="90"/>
  <c r="AZ6" i="90"/>
  <c r="AS8" i="90"/>
  <c r="AW6" i="90"/>
  <c r="AT7" i="90"/>
  <c r="AV7" i="90"/>
  <c r="AX7" i="90"/>
  <c r="AY7" i="90"/>
  <c r="AZ7" i="90"/>
  <c r="AS9" i="90"/>
  <c r="AW7" i="90"/>
  <c r="AT8" i="90"/>
  <c r="AV8" i="90"/>
  <c r="AX8" i="90"/>
  <c r="AY8" i="90"/>
  <c r="AZ8" i="90"/>
  <c r="AS10" i="90"/>
  <c r="AW8" i="90"/>
  <c r="AT9" i="90"/>
  <c r="AV9" i="90"/>
  <c r="AX9" i="90"/>
  <c r="AY9" i="90"/>
  <c r="AZ9" i="90"/>
  <c r="AS11" i="90"/>
  <c r="AW9" i="90"/>
  <c r="AT10" i="90"/>
  <c r="AV10" i="90"/>
  <c r="AX10" i="90"/>
  <c r="AY10" i="90"/>
  <c r="AZ10" i="90"/>
  <c r="AS12" i="90"/>
  <c r="AW10" i="90"/>
  <c r="AT11" i="90"/>
  <c r="AV11" i="90"/>
  <c r="AX11" i="90"/>
  <c r="AY11" i="90"/>
  <c r="AZ11" i="90"/>
  <c r="AS13" i="90"/>
  <c r="AW11" i="90"/>
  <c r="AT12" i="90"/>
  <c r="AV12" i="90"/>
  <c r="AX12" i="90"/>
  <c r="AY12" i="90"/>
  <c r="AZ12" i="90"/>
  <c r="AS14" i="90"/>
  <c r="AW12" i="90"/>
  <c r="AT13" i="90"/>
  <c r="AV13" i="90"/>
  <c r="AX13" i="90"/>
  <c r="AY13" i="90"/>
  <c r="AZ13" i="90"/>
  <c r="AS15" i="90"/>
  <c r="AW13" i="90"/>
  <c r="AT14" i="90"/>
  <c r="AV14" i="90"/>
  <c r="AX14" i="90"/>
  <c r="AY14" i="90"/>
  <c r="AZ14" i="90"/>
  <c r="AS16" i="90"/>
  <c r="AW14" i="90"/>
  <c r="AT15" i="90"/>
  <c r="AV15" i="90"/>
  <c r="AX15" i="90"/>
  <c r="AY15" i="90"/>
  <c r="AZ15" i="90"/>
  <c r="AS17" i="90"/>
  <c r="AW15" i="90"/>
  <c r="AT16" i="90"/>
  <c r="AV16" i="90"/>
  <c r="AX16" i="90"/>
  <c r="AY16" i="90"/>
  <c r="AZ16" i="90"/>
  <c r="AS18" i="90"/>
  <c r="AW16" i="90"/>
  <c r="AT17" i="90"/>
  <c r="AV17" i="90"/>
  <c r="AX17" i="90"/>
  <c r="AY17" i="90"/>
  <c r="AZ17" i="90"/>
  <c r="AS19" i="90"/>
  <c r="AW17" i="90"/>
  <c r="AT18" i="90"/>
  <c r="AV18" i="90"/>
  <c r="AX18" i="90"/>
  <c r="AY18" i="90"/>
  <c r="AZ18" i="90"/>
  <c r="AS20" i="90"/>
  <c r="AW18" i="90"/>
  <c r="AT19" i="90"/>
  <c r="AV19" i="90"/>
  <c r="AX19" i="90"/>
  <c r="AY19" i="90"/>
  <c r="AZ19" i="90"/>
  <c r="AS21" i="90"/>
  <c r="AW19" i="90"/>
  <c r="AT20" i="90"/>
  <c r="AV20" i="90"/>
  <c r="AX20" i="90"/>
  <c r="AY20" i="90"/>
  <c r="AZ20" i="90"/>
  <c r="AS22" i="90"/>
  <c r="AW20" i="90"/>
  <c r="AT21" i="90"/>
  <c r="AV21" i="90"/>
  <c r="AX21" i="90"/>
  <c r="AY21" i="90"/>
  <c r="AZ21" i="90"/>
  <c r="AS23" i="90"/>
  <c r="AW21" i="90"/>
  <c r="AT22" i="90"/>
  <c r="AV22" i="90"/>
  <c r="AX22" i="90"/>
  <c r="AY22" i="90"/>
  <c r="AZ22" i="90"/>
  <c r="AS24" i="90"/>
  <c r="AW22" i="90"/>
  <c r="AT23" i="90"/>
  <c r="AV23" i="90"/>
  <c r="AX23" i="90"/>
  <c r="AY23" i="90"/>
  <c r="AZ23" i="90"/>
  <c r="AS25" i="90"/>
  <c r="AW23" i="90"/>
  <c r="AT24" i="90"/>
  <c r="AV24" i="90"/>
  <c r="AW24" i="90"/>
  <c r="AX24" i="90"/>
  <c r="AY24" i="90"/>
  <c r="AZ24" i="90"/>
  <c r="AZ25" i="90"/>
  <c r="AS26" i="90"/>
  <c r="AZ26" i="90"/>
  <c r="AS27" i="90"/>
  <c r="AZ27" i="90"/>
  <c r="AS28" i="90"/>
  <c r="AZ28" i="90"/>
  <c r="AS29" i="90"/>
  <c r="AZ29" i="90"/>
  <c r="AS30" i="90"/>
  <c r="AZ30" i="90"/>
  <c r="AS31" i="90"/>
  <c r="AZ31" i="90"/>
  <c r="AS32" i="90"/>
  <c r="AZ32" i="90"/>
  <c r="AS33" i="90"/>
  <c r="AZ33" i="90"/>
  <c r="AS34" i="90"/>
  <c r="AZ34" i="90"/>
  <c r="AS35" i="90"/>
  <c r="AZ35" i="90"/>
  <c r="AS36" i="90"/>
  <c r="AZ36" i="90"/>
  <c r="AS37" i="90"/>
  <c r="AZ37" i="90"/>
  <c r="AS38" i="90"/>
  <c r="AZ38" i="90"/>
  <c r="AS39" i="90"/>
  <c r="AZ39" i="90"/>
  <c r="AS40" i="90"/>
  <c r="AZ40" i="90"/>
  <c r="AS41" i="90"/>
  <c r="AZ41" i="90"/>
  <c r="AS42" i="90"/>
  <c r="AZ42" i="90"/>
  <c r="AS43" i="90"/>
  <c r="AZ43" i="90"/>
  <c r="AS44" i="90"/>
  <c r="AZ44" i="90"/>
  <c r="AS45" i="90"/>
  <c r="AZ45" i="90"/>
  <c r="AS46" i="90"/>
  <c r="AZ46" i="90"/>
  <c r="AS47" i="90"/>
  <c r="AZ47" i="90"/>
  <c r="AS48" i="90"/>
  <c r="AZ48" i="90"/>
  <c r="AS49" i="90"/>
  <c r="AZ49" i="90"/>
  <c r="AS50" i="90"/>
  <c r="AZ50" i="90"/>
  <c r="AS51" i="90"/>
  <c r="AZ51" i="90"/>
  <c r="AS52" i="90"/>
  <c r="AZ52" i="90"/>
  <c r="AS53" i="90"/>
  <c r="AZ53" i="90"/>
  <c r="AS54" i="90"/>
  <c r="AZ54" i="90"/>
  <c r="AS55" i="90"/>
  <c r="AZ55" i="90"/>
  <c r="AS56" i="90"/>
  <c r="AZ56" i="90"/>
  <c r="AS57" i="90"/>
  <c r="AZ57" i="90"/>
  <c r="AS58" i="90"/>
  <c r="AZ58" i="90"/>
  <c r="AS59" i="90"/>
  <c r="AZ59" i="90"/>
  <c r="AS60" i="90"/>
  <c r="AZ60" i="90"/>
  <c r="AS61" i="90"/>
  <c r="AZ61" i="90"/>
  <c r="AS62" i="90"/>
  <c r="AZ62" i="90"/>
  <c r="AS63" i="90"/>
  <c r="AZ63" i="90"/>
  <c r="AS64" i="90"/>
  <c r="AZ64" i="90"/>
  <c r="AS65" i="90"/>
  <c r="AZ65" i="90"/>
  <c r="AS66" i="90"/>
  <c r="AZ66" i="90"/>
  <c r="AS67" i="90"/>
  <c r="AZ67" i="90"/>
  <c r="AS68" i="90"/>
  <c r="AZ68" i="90"/>
  <c r="AS69" i="90"/>
  <c r="AZ69" i="90"/>
  <c r="AS70" i="90"/>
  <c r="AZ70" i="90"/>
  <c r="AS71" i="90"/>
  <c r="AZ71" i="90"/>
  <c r="AS72" i="90"/>
  <c r="AZ72" i="90"/>
  <c r="AS73" i="90"/>
  <c r="AZ73" i="90"/>
  <c r="AS74" i="90"/>
  <c r="AZ74" i="90"/>
  <c r="AS75" i="90"/>
  <c r="AZ75" i="90"/>
  <c r="AS76" i="90"/>
  <c r="AZ76" i="90"/>
  <c r="AS77" i="90"/>
  <c r="AZ77" i="90"/>
  <c r="AS78" i="90"/>
  <c r="AZ78" i="90"/>
  <c r="AS79" i="90"/>
  <c r="AZ79" i="90"/>
  <c r="AS80" i="90"/>
  <c r="AZ80" i="90"/>
  <c r="AS81" i="90"/>
  <c r="AZ81" i="90"/>
  <c r="AS82" i="90"/>
  <c r="AZ82" i="90"/>
  <c r="AS83" i="90"/>
  <c r="AZ83" i="90"/>
  <c r="AS84" i="90"/>
  <c r="AZ84" i="90"/>
  <c r="AS85" i="90"/>
  <c r="AZ85" i="90"/>
  <c r="AS86" i="90"/>
  <c r="AZ86" i="90"/>
  <c r="AS87" i="90"/>
  <c r="AZ87" i="90"/>
  <c r="AS88" i="90"/>
  <c r="AZ88" i="90"/>
  <c r="AS89" i="90"/>
  <c r="AZ89" i="90"/>
  <c r="AS90" i="90"/>
  <c r="AZ90" i="90"/>
  <c r="AS91" i="90"/>
  <c r="AZ91" i="90"/>
  <c r="AS92" i="90"/>
  <c r="AZ92" i="90"/>
  <c r="AS93" i="90"/>
  <c r="AZ93" i="90"/>
  <c r="AS94" i="90"/>
  <c r="AZ94" i="90"/>
  <c r="AS95" i="90"/>
  <c r="AZ95" i="90"/>
  <c r="AS96" i="90"/>
  <c r="AZ96" i="90"/>
  <c r="AS97" i="90"/>
  <c r="AZ97" i="90"/>
  <c r="AS98" i="90"/>
  <c r="AZ98" i="90"/>
  <c r="AS99" i="90"/>
  <c r="AZ99" i="90"/>
  <c r="AS100" i="90"/>
  <c r="AZ100" i="90"/>
  <c r="AS101" i="90"/>
  <c r="AZ101" i="90"/>
  <c r="AS102" i="90"/>
  <c r="AZ102" i="90"/>
  <c r="AS103" i="90"/>
  <c r="AZ103" i="90"/>
  <c r="AS104" i="90"/>
  <c r="AZ104" i="90"/>
  <c r="AS105" i="90"/>
  <c r="AZ105" i="90"/>
  <c r="AS106" i="90"/>
  <c r="AZ106" i="90"/>
  <c r="AS107" i="90"/>
  <c r="AZ107" i="90"/>
  <c r="AS108" i="90"/>
  <c r="AZ108" i="90"/>
  <c r="AS109" i="90"/>
  <c r="AZ109" i="90"/>
  <c r="AS110" i="90"/>
  <c r="AZ110" i="90"/>
  <c r="AS111" i="90"/>
  <c r="AZ111" i="90"/>
  <c r="BA5" i="90"/>
  <c r="R15" i="90"/>
  <c r="AX4" i="90"/>
  <c r="AY4" i="90"/>
  <c r="AZ4" i="90"/>
  <c r="S15" i="90"/>
  <c r="T15" i="90"/>
  <c r="V15" i="90"/>
  <c r="I26" i="90"/>
  <c r="G31" i="90"/>
  <c r="R6" i="89"/>
  <c r="S6" i="89"/>
  <c r="V39" i="89"/>
  <c r="U39" i="89"/>
  <c r="T6" i="89"/>
  <c r="S12" i="89"/>
  <c r="T12" i="89"/>
  <c r="I25" i="89"/>
  <c r="AS5" i="89"/>
  <c r="AS6" i="89"/>
  <c r="Q39" i="89"/>
  <c r="AT4" i="89"/>
  <c r="AU4" i="89"/>
  <c r="AT5" i="89"/>
  <c r="AV5" i="89"/>
  <c r="AX5" i="89"/>
  <c r="J39" i="89"/>
  <c r="AY5" i="89"/>
  <c r="AZ5" i="89"/>
  <c r="AS7" i="89"/>
  <c r="AW5" i="89"/>
  <c r="AT6" i="89"/>
  <c r="AV6" i="89"/>
  <c r="AX6" i="89"/>
  <c r="AY6" i="89"/>
  <c r="AZ6" i="89"/>
  <c r="AS8" i="89"/>
  <c r="AW6" i="89"/>
  <c r="AT7" i="89"/>
  <c r="AV7" i="89"/>
  <c r="AX7" i="89"/>
  <c r="AY7" i="89"/>
  <c r="AZ7" i="89"/>
  <c r="AS9" i="89"/>
  <c r="AW7" i="89"/>
  <c r="AT8" i="89"/>
  <c r="AV8" i="89"/>
  <c r="AX8" i="89"/>
  <c r="AY8" i="89"/>
  <c r="AZ8" i="89"/>
  <c r="AS10" i="89"/>
  <c r="AW8" i="89"/>
  <c r="AT9" i="89"/>
  <c r="AV9" i="89"/>
  <c r="AX9" i="89"/>
  <c r="AY9" i="89"/>
  <c r="AZ9" i="89"/>
  <c r="AS11" i="89"/>
  <c r="AW9" i="89"/>
  <c r="AT10" i="89"/>
  <c r="AV10" i="89"/>
  <c r="AX10" i="89"/>
  <c r="AY10" i="89"/>
  <c r="AZ10" i="89"/>
  <c r="AS12" i="89"/>
  <c r="AW10" i="89"/>
  <c r="AT11" i="89"/>
  <c r="AV11" i="89"/>
  <c r="AX11" i="89"/>
  <c r="AY11" i="89"/>
  <c r="AZ11" i="89"/>
  <c r="AS13" i="89"/>
  <c r="AW11" i="89"/>
  <c r="AT12" i="89"/>
  <c r="AV12" i="89"/>
  <c r="AX12" i="89"/>
  <c r="AY12" i="89"/>
  <c r="AZ12" i="89"/>
  <c r="AS14" i="89"/>
  <c r="AW12" i="89"/>
  <c r="AT13" i="89"/>
  <c r="AV13" i="89"/>
  <c r="AX13" i="89"/>
  <c r="AY13" i="89"/>
  <c r="AZ13" i="89"/>
  <c r="AS15" i="89"/>
  <c r="AW13" i="89"/>
  <c r="AT14" i="89"/>
  <c r="AV14" i="89"/>
  <c r="AX14" i="89"/>
  <c r="AY14" i="89"/>
  <c r="AZ14" i="89"/>
  <c r="AS16" i="89"/>
  <c r="AW14" i="89"/>
  <c r="AT15" i="89"/>
  <c r="AV15" i="89"/>
  <c r="AX15" i="89"/>
  <c r="AY15" i="89"/>
  <c r="AZ15" i="89"/>
  <c r="AS17" i="89"/>
  <c r="AW15" i="89"/>
  <c r="AT16" i="89"/>
  <c r="AV16" i="89"/>
  <c r="AX16" i="89"/>
  <c r="AY16" i="89"/>
  <c r="AZ16" i="89"/>
  <c r="AS18" i="89"/>
  <c r="AW16" i="89"/>
  <c r="AT17" i="89"/>
  <c r="AV17" i="89"/>
  <c r="AX17" i="89"/>
  <c r="AY17" i="89"/>
  <c r="AZ17" i="89"/>
  <c r="AS19" i="89"/>
  <c r="AW17" i="89"/>
  <c r="AT18" i="89"/>
  <c r="AV18" i="89"/>
  <c r="AX18" i="89"/>
  <c r="AY18" i="89"/>
  <c r="AZ18" i="89"/>
  <c r="AS20" i="89"/>
  <c r="AW18" i="89"/>
  <c r="AT19" i="89"/>
  <c r="AV19" i="89"/>
  <c r="AW19" i="89"/>
  <c r="AX19" i="89"/>
  <c r="AY19" i="89"/>
  <c r="AZ19" i="89"/>
  <c r="AZ20" i="89"/>
  <c r="AS21" i="89"/>
  <c r="AZ21" i="89"/>
  <c r="AS22" i="89"/>
  <c r="AZ22" i="89"/>
  <c r="AS23" i="89"/>
  <c r="AZ23" i="89"/>
  <c r="AS24" i="89"/>
  <c r="AZ24" i="89"/>
  <c r="AS25" i="89"/>
  <c r="AZ25" i="89"/>
  <c r="AS26" i="89"/>
  <c r="AZ26" i="89"/>
  <c r="AS27" i="89"/>
  <c r="AZ27" i="89"/>
  <c r="AS28" i="89"/>
  <c r="AZ28" i="89"/>
  <c r="AS29" i="89"/>
  <c r="AZ29" i="89"/>
  <c r="AS30" i="89"/>
  <c r="AZ30" i="89"/>
  <c r="AS31" i="89"/>
  <c r="AZ31" i="89"/>
  <c r="AS32" i="89"/>
  <c r="AZ32" i="89"/>
  <c r="AS33" i="89"/>
  <c r="AZ33" i="89"/>
  <c r="AS34" i="89"/>
  <c r="AZ34" i="89"/>
  <c r="AS35" i="89"/>
  <c r="AZ35" i="89"/>
  <c r="AS36" i="89"/>
  <c r="AZ36" i="89"/>
  <c r="AS37" i="89"/>
  <c r="AZ37" i="89"/>
  <c r="AS38" i="89"/>
  <c r="AZ38" i="89"/>
  <c r="AS39" i="89"/>
  <c r="AZ39" i="89"/>
  <c r="AS40" i="89"/>
  <c r="AZ40" i="89"/>
  <c r="AS41" i="89"/>
  <c r="AZ41" i="89"/>
  <c r="AS42" i="89"/>
  <c r="AZ42" i="89"/>
  <c r="AS43" i="89"/>
  <c r="AZ43" i="89"/>
  <c r="AS44" i="89"/>
  <c r="AZ44" i="89"/>
  <c r="AS45" i="89"/>
  <c r="AZ45" i="89"/>
  <c r="AS46" i="89"/>
  <c r="AZ46" i="89"/>
  <c r="AS47" i="89"/>
  <c r="AZ47" i="89"/>
  <c r="AS48" i="89"/>
  <c r="AZ48" i="89"/>
  <c r="AS49" i="89"/>
  <c r="AZ49" i="89"/>
  <c r="AS50" i="89"/>
  <c r="AZ50" i="89"/>
  <c r="AS51" i="89"/>
  <c r="AZ51" i="89"/>
  <c r="AS52" i="89"/>
  <c r="AZ52" i="89"/>
  <c r="AS53" i="89"/>
  <c r="AZ53" i="89"/>
  <c r="AS54" i="89"/>
  <c r="AZ54" i="89"/>
  <c r="AS55" i="89"/>
  <c r="AZ55" i="89"/>
  <c r="AS56" i="89"/>
  <c r="AZ56" i="89"/>
  <c r="AS57" i="89"/>
  <c r="AZ57" i="89"/>
  <c r="AS58" i="89"/>
  <c r="AZ58" i="89"/>
  <c r="AS59" i="89"/>
  <c r="AZ59" i="89"/>
  <c r="AS60" i="89"/>
  <c r="AZ60" i="89"/>
  <c r="AS61" i="89"/>
  <c r="AZ61" i="89"/>
  <c r="AS62" i="89"/>
  <c r="AZ62" i="89"/>
  <c r="AS63" i="89"/>
  <c r="AZ63" i="89"/>
  <c r="AS64" i="89"/>
  <c r="AZ64" i="89"/>
  <c r="AS65" i="89"/>
  <c r="AZ65" i="89"/>
  <c r="AS66" i="89"/>
  <c r="AZ66" i="89"/>
  <c r="AS67" i="89"/>
  <c r="AZ67" i="89"/>
  <c r="AS68" i="89"/>
  <c r="AZ68" i="89"/>
  <c r="AS69" i="89"/>
  <c r="AZ69" i="89"/>
  <c r="AS70" i="89"/>
  <c r="AZ70" i="89"/>
  <c r="AS71" i="89"/>
  <c r="AZ71" i="89"/>
  <c r="AS72" i="89"/>
  <c r="AZ72" i="89"/>
  <c r="AS73" i="89"/>
  <c r="AZ73" i="89"/>
  <c r="AS74" i="89"/>
  <c r="AZ74" i="89"/>
  <c r="AS75" i="89"/>
  <c r="AZ75" i="89"/>
  <c r="AS76" i="89"/>
  <c r="AZ76" i="89"/>
  <c r="AS77" i="89"/>
  <c r="AZ77" i="89"/>
  <c r="AS78" i="89"/>
  <c r="AZ78" i="89"/>
  <c r="AS79" i="89"/>
  <c r="AZ79" i="89"/>
  <c r="AS80" i="89"/>
  <c r="AZ80" i="89"/>
  <c r="AS81" i="89"/>
  <c r="AZ81" i="89"/>
  <c r="AS82" i="89"/>
  <c r="AZ82" i="89"/>
  <c r="AS83" i="89"/>
  <c r="AZ83" i="89"/>
  <c r="AS84" i="89"/>
  <c r="AZ84" i="89"/>
  <c r="AS85" i="89"/>
  <c r="AZ85" i="89"/>
  <c r="AS86" i="89"/>
  <c r="AZ86" i="89"/>
  <c r="AS87" i="89"/>
  <c r="AZ87" i="89"/>
  <c r="AS88" i="89"/>
  <c r="AZ88" i="89"/>
  <c r="AS89" i="89"/>
  <c r="AZ89" i="89"/>
  <c r="AS90" i="89"/>
  <c r="AZ90" i="89"/>
  <c r="AS91" i="89"/>
  <c r="AZ91" i="89"/>
  <c r="AS92" i="89"/>
  <c r="AZ92" i="89"/>
  <c r="AS93" i="89"/>
  <c r="AZ93" i="89"/>
  <c r="AS94" i="89"/>
  <c r="AZ94" i="89"/>
  <c r="AS95" i="89"/>
  <c r="AZ95" i="89"/>
  <c r="AS96" i="89"/>
  <c r="AZ96" i="89"/>
  <c r="AS97" i="89"/>
  <c r="AZ97" i="89"/>
  <c r="AS98" i="89"/>
  <c r="AZ98" i="89"/>
  <c r="AS99" i="89"/>
  <c r="AZ99" i="89"/>
  <c r="AS100" i="89"/>
  <c r="AZ100" i="89"/>
  <c r="AS101" i="89"/>
  <c r="AZ101" i="89"/>
  <c r="AS102" i="89"/>
  <c r="AZ102" i="89"/>
  <c r="AS103" i="89"/>
  <c r="AZ103" i="89"/>
  <c r="AS104" i="89"/>
  <c r="AZ104" i="89"/>
  <c r="AS105" i="89"/>
  <c r="AZ105" i="89"/>
  <c r="AS106" i="89"/>
  <c r="AZ106" i="89"/>
  <c r="AS107" i="89"/>
  <c r="AZ107" i="89"/>
  <c r="AS108" i="89"/>
  <c r="AZ108" i="89"/>
  <c r="AS109" i="89"/>
  <c r="AZ109" i="89"/>
  <c r="AS110" i="89"/>
  <c r="AZ110" i="89"/>
  <c r="AS111" i="89"/>
  <c r="AZ111" i="89"/>
  <c r="BA5" i="89"/>
  <c r="R15" i="89"/>
  <c r="AX4" i="89"/>
  <c r="AY4" i="89"/>
  <c r="AZ4" i="89"/>
  <c r="S15" i="89"/>
  <c r="T15" i="89"/>
  <c r="V15" i="89"/>
  <c r="I26" i="89"/>
  <c r="G31" i="89"/>
  <c r="R6" i="91"/>
  <c r="S6" i="91"/>
  <c r="V39" i="91"/>
  <c r="U39" i="91"/>
  <c r="T6" i="91"/>
  <c r="S12" i="91"/>
  <c r="T12" i="91"/>
  <c r="I25" i="91"/>
  <c r="AS5" i="91"/>
  <c r="AS6" i="91"/>
  <c r="Q39" i="91"/>
  <c r="AT4" i="91"/>
  <c r="AU4" i="91"/>
  <c r="AT5" i="91"/>
  <c r="AV5" i="91"/>
  <c r="AX5" i="91"/>
  <c r="J39" i="91"/>
  <c r="AY5" i="91"/>
  <c r="AZ5" i="91"/>
  <c r="AS7" i="91"/>
  <c r="AW5" i="91"/>
  <c r="AT6" i="91"/>
  <c r="AV6" i="91"/>
  <c r="AX6" i="91"/>
  <c r="AY6" i="91"/>
  <c r="AZ6" i="91"/>
  <c r="AS8" i="91"/>
  <c r="AW6" i="91"/>
  <c r="AT7" i="91"/>
  <c r="AV7" i="91"/>
  <c r="AX7" i="91"/>
  <c r="AY7" i="91"/>
  <c r="AZ7" i="91"/>
  <c r="AS9" i="91"/>
  <c r="AW7" i="91"/>
  <c r="AT8" i="91"/>
  <c r="AV8" i="91"/>
  <c r="AX8" i="91"/>
  <c r="AY8" i="91"/>
  <c r="AZ8" i="91"/>
  <c r="AS10" i="91"/>
  <c r="AW8" i="91"/>
  <c r="AT9" i="91"/>
  <c r="AV9" i="91"/>
  <c r="AX9" i="91"/>
  <c r="AY9" i="91"/>
  <c r="AZ9" i="91"/>
  <c r="AS11" i="91"/>
  <c r="AW9" i="91"/>
  <c r="AT10" i="91"/>
  <c r="AV10" i="91"/>
  <c r="AX10" i="91"/>
  <c r="AY10" i="91"/>
  <c r="AZ10" i="91"/>
  <c r="AS12" i="91"/>
  <c r="AW10" i="91"/>
  <c r="AT11" i="91"/>
  <c r="AV11" i="91"/>
  <c r="AX11" i="91"/>
  <c r="AY11" i="91"/>
  <c r="AZ11" i="91"/>
  <c r="AS13" i="91"/>
  <c r="AW11" i="91"/>
  <c r="AT12" i="91"/>
  <c r="AV12" i="91"/>
  <c r="AX12" i="91"/>
  <c r="AY12" i="91"/>
  <c r="AZ12" i="91"/>
  <c r="AS14" i="91"/>
  <c r="AW12" i="91"/>
  <c r="AT13" i="91"/>
  <c r="AV13" i="91"/>
  <c r="AX13" i="91"/>
  <c r="AY13" i="91"/>
  <c r="AZ13" i="91"/>
  <c r="AS15" i="91"/>
  <c r="AW13" i="91"/>
  <c r="AT14" i="91"/>
  <c r="AV14" i="91"/>
  <c r="AX14" i="91"/>
  <c r="AY14" i="91"/>
  <c r="AZ14" i="91"/>
  <c r="AS16" i="91"/>
  <c r="AW14" i="91"/>
  <c r="AT15" i="91"/>
  <c r="AV15" i="91"/>
  <c r="AX15" i="91"/>
  <c r="AY15" i="91"/>
  <c r="AZ15" i="91"/>
  <c r="AS17" i="91"/>
  <c r="AW15" i="91"/>
  <c r="AT16" i="91"/>
  <c r="AV16" i="91"/>
  <c r="AX16" i="91"/>
  <c r="AY16" i="91"/>
  <c r="AZ16" i="91"/>
  <c r="AS18" i="91"/>
  <c r="AW16" i="91"/>
  <c r="AT17" i="91"/>
  <c r="AV17" i="91"/>
  <c r="AX17" i="91"/>
  <c r="AY17" i="91"/>
  <c r="AZ17" i="91"/>
  <c r="AS19" i="91"/>
  <c r="AW17" i="91"/>
  <c r="AT18" i="91"/>
  <c r="AV18" i="91"/>
  <c r="AX18" i="91"/>
  <c r="AY18" i="91"/>
  <c r="AZ18" i="91"/>
  <c r="AS20" i="91"/>
  <c r="AW18" i="91"/>
  <c r="AT19" i="91"/>
  <c r="AV19" i="91"/>
  <c r="AX19" i="91"/>
  <c r="AY19" i="91"/>
  <c r="AZ19" i="91"/>
  <c r="AS21" i="91"/>
  <c r="AW19" i="91"/>
  <c r="AT20" i="91"/>
  <c r="AV20" i="91"/>
  <c r="AX20" i="91"/>
  <c r="AY20" i="91"/>
  <c r="AZ20" i="91"/>
  <c r="AS22" i="91"/>
  <c r="AW20" i="91"/>
  <c r="AT21" i="91"/>
  <c r="AV21" i="91"/>
  <c r="AX21" i="91"/>
  <c r="AY21" i="91"/>
  <c r="AZ21" i="91"/>
  <c r="AS23" i="91"/>
  <c r="AW21" i="91"/>
  <c r="AT22" i="91"/>
  <c r="AV22" i="91"/>
  <c r="AX22" i="91"/>
  <c r="AY22" i="91"/>
  <c r="AZ22" i="91"/>
  <c r="AS24" i="91"/>
  <c r="AW22" i="91"/>
  <c r="AT23" i="91"/>
  <c r="AV23" i="91"/>
  <c r="AX23" i="91"/>
  <c r="AY23" i="91"/>
  <c r="AZ23" i="91"/>
  <c r="AS25" i="91"/>
  <c r="AW23" i="91"/>
  <c r="AT24" i="91"/>
  <c r="AV24" i="91"/>
  <c r="AW24" i="91"/>
  <c r="AX24" i="91"/>
  <c r="AY24" i="91"/>
  <c r="AZ24" i="91"/>
  <c r="AZ25" i="91"/>
  <c r="AS26" i="91"/>
  <c r="AZ26" i="91"/>
  <c r="AS27" i="91"/>
  <c r="AZ27" i="91"/>
  <c r="AS28" i="91"/>
  <c r="AZ28" i="91"/>
  <c r="AS29" i="91"/>
  <c r="AZ29" i="91"/>
  <c r="AS30" i="91"/>
  <c r="AZ30" i="91"/>
  <c r="AS31" i="91"/>
  <c r="AZ31" i="91"/>
  <c r="AS32" i="91"/>
  <c r="AZ32" i="91"/>
  <c r="AS33" i="91"/>
  <c r="AZ33" i="91"/>
  <c r="AS34" i="91"/>
  <c r="AZ34" i="91"/>
  <c r="AS35" i="91"/>
  <c r="AZ35" i="91"/>
  <c r="AS36" i="91"/>
  <c r="AZ36" i="91"/>
  <c r="AS37" i="91"/>
  <c r="AZ37" i="91"/>
  <c r="AS38" i="91"/>
  <c r="AZ38" i="91"/>
  <c r="AS39" i="91"/>
  <c r="AZ39" i="91"/>
  <c r="AS40" i="91"/>
  <c r="AZ40" i="91"/>
  <c r="AS41" i="91"/>
  <c r="AZ41" i="91"/>
  <c r="AS42" i="91"/>
  <c r="AZ42" i="91"/>
  <c r="AS43" i="91"/>
  <c r="AZ43" i="91"/>
  <c r="AS44" i="91"/>
  <c r="AZ44" i="91"/>
  <c r="AS45" i="91"/>
  <c r="AZ45" i="91"/>
  <c r="AS46" i="91"/>
  <c r="AZ46" i="91"/>
  <c r="AS47" i="91"/>
  <c r="AZ47" i="91"/>
  <c r="AS48" i="91"/>
  <c r="AZ48" i="91"/>
  <c r="AS49" i="91"/>
  <c r="AZ49" i="91"/>
  <c r="AS50" i="91"/>
  <c r="AZ50" i="91"/>
  <c r="AS51" i="91"/>
  <c r="AZ51" i="91"/>
  <c r="AS52" i="91"/>
  <c r="AZ52" i="91"/>
  <c r="AS53" i="91"/>
  <c r="AZ53" i="91"/>
  <c r="AS54" i="91"/>
  <c r="AZ54" i="91"/>
  <c r="AS55" i="91"/>
  <c r="AZ55" i="91"/>
  <c r="AS56" i="91"/>
  <c r="AZ56" i="91"/>
  <c r="AS57" i="91"/>
  <c r="AZ57" i="91"/>
  <c r="AS58" i="91"/>
  <c r="AZ58" i="91"/>
  <c r="AS59" i="91"/>
  <c r="AZ59" i="91"/>
  <c r="AS60" i="91"/>
  <c r="AZ60" i="91"/>
  <c r="AS61" i="91"/>
  <c r="AZ61" i="91"/>
  <c r="AS62" i="91"/>
  <c r="AZ62" i="91"/>
  <c r="AS63" i="91"/>
  <c r="AZ63" i="91"/>
  <c r="AS64" i="91"/>
  <c r="AZ64" i="91"/>
  <c r="AS65" i="91"/>
  <c r="AZ65" i="91"/>
  <c r="AS66" i="91"/>
  <c r="AZ66" i="91"/>
  <c r="AS67" i="91"/>
  <c r="AZ67" i="91"/>
  <c r="AS68" i="91"/>
  <c r="AZ68" i="91"/>
  <c r="AS69" i="91"/>
  <c r="AZ69" i="91"/>
  <c r="AS70" i="91"/>
  <c r="AZ70" i="91"/>
  <c r="AS71" i="91"/>
  <c r="AZ71" i="91"/>
  <c r="AS72" i="91"/>
  <c r="AZ72" i="91"/>
  <c r="AS73" i="91"/>
  <c r="AZ73" i="91"/>
  <c r="AS74" i="91"/>
  <c r="AZ74" i="91"/>
  <c r="AS75" i="91"/>
  <c r="AZ75" i="91"/>
  <c r="AS76" i="91"/>
  <c r="AZ76" i="91"/>
  <c r="AS77" i="91"/>
  <c r="AZ77" i="91"/>
  <c r="AS78" i="91"/>
  <c r="AZ78" i="91"/>
  <c r="AS79" i="91"/>
  <c r="AZ79" i="91"/>
  <c r="AS80" i="91"/>
  <c r="AZ80" i="91"/>
  <c r="AS81" i="91"/>
  <c r="AZ81" i="91"/>
  <c r="AS82" i="91"/>
  <c r="AZ82" i="91"/>
  <c r="AS83" i="91"/>
  <c r="AZ83" i="91"/>
  <c r="AS84" i="91"/>
  <c r="AZ84" i="91"/>
  <c r="AS85" i="91"/>
  <c r="AZ85" i="91"/>
  <c r="AS86" i="91"/>
  <c r="AZ86" i="91"/>
  <c r="AS87" i="91"/>
  <c r="AZ87" i="91"/>
  <c r="AS88" i="91"/>
  <c r="AZ88" i="91"/>
  <c r="AS89" i="91"/>
  <c r="AZ89" i="91"/>
  <c r="AS90" i="91"/>
  <c r="AZ90" i="91"/>
  <c r="AS91" i="91"/>
  <c r="AZ91" i="91"/>
  <c r="AS92" i="91"/>
  <c r="AZ92" i="91"/>
  <c r="AS93" i="91"/>
  <c r="AZ93" i="91"/>
  <c r="AS94" i="91"/>
  <c r="AZ94" i="91"/>
  <c r="AS95" i="91"/>
  <c r="AZ95" i="91"/>
  <c r="AS96" i="91"/>
  <c r="AZ96" i="91"/>
  <c r="AS97" i="91"/>
  <c r="AZ97" i="91"/>
  <c r="AS98" i="91"/>
  <c r="AZ98" i="91"/>
  <c r="AS99" i="91"/>
  <c r="AZ99" i="91"/>
  <c r="AS100" i="91"/>
  <c r="AZ100" i="91"/>
  <c r="AS101" i="91"/>
  <c r="AZ101" i="91"/>
  <c r="AS102" i="91"/>
  <c r="AZ102" i="91"/>
  <c r="AS103" i="91"/>
  <c r="AZ103" i="91"/>
  <c r="AS104" i="91"/>
  <c r="AZ104" i="91"/>
  <c r="AS105" i="91"/>
  <c r="AZ105" i="91"/>
  <c r="AS106" i="91"/>
  <c r="AZ106" i="91"/>
  <c r="AS107" i="91"/>
  <c r="AZ107" i="91"/>
  <c r="AS108" i="91"/>
  <c r="AZ108" i="91"/>
  <c r="AS109" i="91"/>
  <c r="AZ109" i="91"/>
  <c r="AS110" i="91"/>
  <c r="AZ110" i="91"/>
  <c r="AS111" i="91"/>
  <c r="AZ111" i="91"/>
  <c r="BA5" i="91"/>
  <c r="R15" i="91"/>
  <c r="AX4" i="91"/>
  <c r="AY4" i="91"/>
  <c r="AZ4" i="91"/>
  <c r="S15" i="91"/>
  <c r="T15" i="91"/>
  <c r="V15" i="91"/>
  <c r="I26" i="91"/>
  <c r="G31" i="91"/>
  <c r="R6" i="88"/>
  <c r="S6" i="88"/>
  <c r="V39" i="88"/>
  <c r="U39" i="88"/>
  <c r="T6" i="88"/>
  <c r="S12" i="88"/>
  <c r="T12" i="88"/>
  <c r="I25" i="88"/>
  <c r="AS5" i="88"/>
  <c r="AS6" i="88"/>
  <c r="Q39" i="88"/>
  <c r="AT4" i="88"/>
  <c r="AU4" i="88"/>
  <c r="AT5" i="88"/>
  <c r="AV5" i="88"/>
  <c r="AX5" i="88"/>
  <c r="J39" i="88"/>
  <c r="AY5" i="88"/>
  <c r="AZ5" i="88"/>
  <c r="AS7" i="88"/>
  <c r="AW5" i="88"/>
  <c r="AT6" i="88"/>
  <c r="AV6" i="88"/>
  <c r="AX6" i="88"/>
  <c r="AY6" i="88"/>
  <c r="AZ6" i="88"/>
  <c r="AS8" i="88"/>
  <c r="AW6" i="88"/>
  <c r="AT7" i="88"/>
  <c r="AV7" i="88"/>
  <c r="AX7" i="88"/>
  <c r="AY7" i="88"/>
  <c r="AZ7" i="88"/>
  <c r="AS9" i="88"/>
  <c r="AW7" i="88"/>
  <c r="AT8" i="88"/>
  <c r="AV8" i="88"/>
  <c r="AX8" i="88"/>
  <c r="AY8" i="88"/>
  <c r="AZ8" i="88"/>
  <c r="AS10" i="88"/>
  <c r="AW8" i="88"/>
  <c r="AT9" i="88"/>
  <c r="AV9" i="88"/>
  <c r="AX9" i="88"/>
  <c r="AY9" i="88"/>
  <c r="AZ9" i="88"/>
  <c r="AS11" i="88"/>
  <c r="AW9" i="88"/>
  <c r="AT10" i="88"/>
  <c r="AV10" i="88"/>
  <c r="AX10" i="88"/>
  <c r="AY10" i="88"/>
  <c r="AZ10" i="88"/>
  <c r="AS12" i="88"/>
  <c r="AW10" i="88"/>
  <c r="AT11" i="88"/>
  <c r="AV11" i="88"/>
  <c r="AX11" i="88"/>
  <c r="AY11" i="88"/>
  <c r="AZ11" i="88"/>
  <c r="AS13" i="88"/>
  <c r="AW11" i="88"/>
  <c r="AT12" i="88"/>
  <c r="AV12" i="88"/>
  <c r="AX12" i="88"/>
  <c r="AY12" i="88"/>
  <c r="AZ12" i="88"/>
  <c r="AS14" i="88"/>
  <c r="AW12" i="88"/>
  <c r="AT13" i="88"/>
  <c r="AV13" i="88"/>
  <c r="AX13" i="88"/>
  <c r="AY13" i="88"/>
  <c r="AZ13" i="88"/>
  <c r="AS15" i="88"/>
  <c r="AW13" i="88"/>
  <c r="AT14" i="88"/>
  <c r="AV14" i="88"/>
  <c r="AX14" i="88"/>
  <c r="AY14" i="88"/>
  <c r="AZ14" i="88"/>
  <c r="AS16" i="88"/>
  <c r="AW14" i="88"/>
  <c r="AT15" i="88"/>
  <c r="AV15" i="88"/>
  <c r="AX15" i="88"/>
  <c r="AY15" i="88"/>
  <c r="AZ15" i="88"/>
  <c r="AS17" i="88"/>
  <c r="AW15" i="88"/>
  <c r="AT16" i="88"/>
  <c r="AV16" i="88"/>
  <c r="AX16" i="88"/>
  <c r="AY16" i="88"/>
  <c r="AZ16" i="88"/>
  <c r="AS18" i="88"/>
  <c r="AW16" i="88"/>
  <c r="AT17" i="88"/>
  <c r="AV17" i="88"/>
  <c r="AX17" i="88"/>
  <c r="AY17" i="88"/>
  <c r="AZ17" i="88"/>
  <c r="AS19" i="88"/>
  <c r="AW17" i="88"/>
  <c r="AT18" i="88"/>
  <c r="AV18" i="88"/>
  <c r="AX18" i="88"/>
  <c r="AY18" i="88"/>
  <c r="AZ18" i="88"/>
  <c r="AS20" i="88"/>
  <c r="AW18" i="88"/>
  <c r="AT19" i="88"/>
  <c r="AV19" i="88"/>
  <c r="AW19" i="88"/>
  <c r="AX19" i="88"/>
  <c r="AY19" i="88"/>
  <c r="AZ19" i="88"/>
  <c r="AZ20" i="88"/>
  <c r="AS21" i="88"/>
  <c r="AZ21" i="88"/>
  <c r="AS22" i="88"/>
  <c r="AZ22" i="88"/>
  <c r="AS23" i="88"/>
  <c r="AZ23" i="88"/>
  <c r="AS24" i="88"/>
  <c r="AZ24" i="88"/>
  <c r="AS25" i="88"/>
  <c r="AZ25" i="88"/>
  <c r="AS26" i="88"/>
  <c r="AZ26" i="88"/>
  <c r="AS27" i="88"/>
  <c r="AZ27" i="88"/>
  <c r="AS28" i="88"/>
  <c r="AZ28" i="88"/>
  <c r="AS29" i="88"/>
  <c r="AZ29" i="88"/>
  <c r="AS30" i="88"/>
  <c r="AZ30" i="88"/>
  <c r="AS31" i="88"/>
  <c r="AZ31" i="88"/>
  <c r="AS32" i="88"/>
  <c r="AZ32" i="88"/>
  <c r="AS33" i="88"/>
  <c r="AZ33" i="88"/>
  <c r="AS34" i="88"/>
  <c r="AZ34" i="88"/>
  <c r="AS35" i="88"/>
  <c r="AZ35" i="88"/>
  <c r="AS36" i="88"/>
  <c r="AZ36" i="88"/>
  <c r="AS37" i="88"/>
  <c r="AZ37" i="88"/>
  <c r="AS38" i="88"/>
  <c r="AZ38" i="88"/>
  <c r="AS39" i="88"/>
  <c r="AZ39" i="88"/>
  <c r="AS40" i="88"/>
  <c r="AZ40" i="88"/>
  <c r="AS41" i="88"/>
  <c r="AZ41" i="88"/>
  <c r="AS42" i="88"/>
  <c r="AZ42" i="88"/>
  <c r="AS43" i="88"/>
  <c r="AZ43" i="88"/>
  <c r="AS44" i="88"/>
  <c r="AZ44" i="88"/>
  <c r="AS45" i="88"/>
  <c r="AZ45" i="88"/>
  <c r="AS46" i="88"/>
  <c r="AZ46" i="88"/>
  <c r="AS47" i="88"/>
  <c r="AZ47" i="88"/>
  <c r="AS48" i="88"/>
  <c r="AZ48" i="88"/>
  <c r="AS49" i="88"/>
  <c r="AZ49" i="88"/>
  <c r="AS50" i="88"/>
  <c r="AZ50" i="88"/>
  <c r="AS51" i="88"/>
  <c r="AZ51" i="88"/>
  <c r="AS52" i="88"/>
  <c r="AZ52" i="88"/>
  <c r="AS53" i="88"/>
  <c r="AZ53" i="88"/>
  <c r="AS54" i="88"/>
  <c r="AZ54" i="88"/>
  <c r="AS55" i="88"/>
  <c r="AZ55" i="88"/>
  <c r="AS56" i="88"/>
  <c r="AZ56" i="88"/>
  <c r="AS57" i="88"/>
  <c r="AZ57" i="88"/>
  <c r="AS58" i="88"/>
  <c r="AZ58" i="88"/>
  <c r="AS59" i="88"/>
  <c r="AZ59" i="88"/>
  <c r="AS60" i="88"/>
  <c r="AZ60" i="88"/>
  <c r="AS61" i="88"/>
  <c r="AZ61" i="88"/>
  <c r="AS62" i="88"/>
  <c r="AZ62" i="88"/>
  <c r="AS63" i="88"/>
  <c r="AZ63" i="88"/>
  <c r="AS64" i="88"/>
  <c r="AZ64" i="88"/>
  <c r="AS65" i="88"/>
  <c r="AZ65" i="88"/>
  <c r="AS66" i="88"/>
  <c r="AZ66" i="88"/>
  <c r="AS67" i="88"/>
  <c r="AZ67" i="88"/>
  <c r="AS68" i="88"/>
  <c r="AZ68" i="88"/>
  <c r="AS69" i="88"/>
  <c r="AZ69" i="88"/>
  <c r="AS70" i="88"/>
  <c r="AZ70" i="88"/>
  <c r="AS71" i="88"/>
  <c r="AZ71" i="88"/>
  <c r="AS72" i="88"/>
  <c r="AZ72" i="88"/>
  <c r="AS73" i="88"/>
  <c r="AZ73" i="88"/>
  <c r="AS74" i="88"/>
  <c r="AZ74" i="88"/>
  <c r="AS75" i="88"/>
  <c r="AZ75" i="88"/>
  <c r="AS76" i="88"/>
  <c r="AZ76" i="88"/>
  <c r="AS77" i="88"/>
  <c r="AZ77" i="88"/>
  <c r="AS78" i="88"/>
  <c r="AZ78" i="88"/>
  <c r="AS79" i="88"/>
  <c r="AZ79" i="88"/>
  <c r="AS80" i="88"/>
  <c r="AZ80" i="88"/>
  <c r="AS81" i="88"/>
  <c r="AZ81" i="88"/>
  <c r="AS82" i="88"/>
  <c r="AZ82" i="88"/>
  <c r="AS83" i="88"/>
  <c r="AZ83" i="88"/>
  <c r="AS84" i="88"/>
  <c r="AZ84" i="88"/>
  <c r="AS85" i="88"/>
  <c r="AZ85" i="88"/>
  <c r="AS86" i="88"/>
  <c r="AZ86" i="88"/>
  <c r="AS87" i="88"/>
  <c r="AZ87" i="88"/>
  <c r="AS88" i="88"/>
  <c r="AZ88" i="88"/>
  <c r="AS89" i="88"/>
  <c r="AZ89" i="88"/>
  <c r="AS90" i="88"/>
  <c r="AZ90" i="88"/>
  <c r="AS91" i="88"/>
  <c r="AZ91" i="88"/>
  <c r="AS92" i="88"/>
  <c r="AZ92" i="88"/>
  <c r="AS93" i="88"/>
  <c r="AZ93" i="88"/>
  <c r="AS94" i="88"/>
  <c r="AZ94" i="88"/>
  <c r="AS95" i="88"/>
  <c r="AZ95" i="88"/>
  <c r="AS96" i="88"/>
  <c r="AZ96" i="88"/>
  <c r="AS97" i="88"/>
  <c r="AZ97" i="88"/>
  <c r="AS98" i="88"/>
  <c r="AZ98" i="88"/>
  <c r="AS99" i="88"/>
  <c r="AZ99" i="88"/>
  <c r="AS100" i="88"/>
  <c r="AZ100" i="88"/>
  <c r="AS101" i="88"/>
  <c r="AZ101" i="88"/>
  <c r="AS102" i="88"/>
  <c r="AZ102" i="88"/>
  <c r="AS103" i="88"/>
  <c r="AZ103" i="88"/>
  <c r="AS104" i="88"/>
  <c r="AZ104" i="88"/>
  <c r="AS105" i="88"/>
  <c r="AZ105" i="88"/>
  <c r="AS106" i="88"/>
  <c r="AZ106" i="88"/>
  <c r="AS107" i="88"/>
  <c r="AZ107" i="88"/>
  <c r="AS108" i="88"/>
  <c r="AZ108" i="88"/>
  <c r="AS109" i="88"/>
  <c r="AZ109" i="88"/>
  <c r="AS110" i="88"/>
  <c r="AZ110" i="88"/>
  <c r="AS111" i="88"/>
  <c r="AZ111" i="88"/>
  <c r="BA5" i="88"/>
  <c r="R15" i="88"/>
  <c r="AX4" i="88"/>
  <c r="AY4" i="88"/>
  <c r="AZ4" i="88"/>
  <c r="S15" i="88"/>
  <c r="T15" i="88"/>
  <c r="V15" i="88"/>
  <c r="I26" i="88"/>
  <c r="G31" i="88"/>
  <c r="I25" i="87"/>
  <c r="AS5" i="87"/>
  <c r="AS6" i="87"/>
  <c r="Q39" i="87"/>
  <c r="AT4" i="87"/>
  <c r="AU4" i="87"/>
  <c r="AT5" i="87"/>
  <c r="AV5" i="87"/>
  <c r="AX5" i="87"/>
  <c r="J39" i="87"/>
  <c r="AY5" i="87"/>
  <c r="AZ5" i="87"/>
  <c r="AS7" i="87"/>
  <c r="AW5" i="87"/>
  <c r="AT6" i="87"/>
  <c r="AV6" i="87"/>
  <c r="AX6" i="87"/>
  <c r="AY6" i="87"/>
  <c r="AZ6" i="87"/>
  <c r="AS8" i="87"/>
  <c r="AW6" i="87"/>
  <c r="AT7" i="87"/>
  <c r="AV7" i="87"/>
  <c r="AX7" i="87"/>
  <c r="AY7" i="87"/>
  <c r="AZ7" i="87"/>
  <c r="AS9" i="87"/>
  <c r="AW7" i="87"/>
  <c r="AT8" i="87"/>
  <c r="AV8" i="87"/>
  <c r="AX8" i="87"/>
  <c r="AY8" i="87"/>
  <c r="AZ8" i="87"/>
  <c r="AS10" i="87"/>
  <c r="AW8" i="87"/>
  <c r="AT9" i="87"/>
  <c r="AV9" i="87"/>
  <c r="AX9" i="87"/>
  <c r="AY9" i="87"/>
  <c r="AZ9" i="87"/>
  <c r="AS11" i="87"/>
  <c r="AW9" i="87"/>
  <c r="AT10" i="87"/>
  <c r="AV10" i="87"/>
  <c r="AX10" i="87"/>
  <c r="AY10" i="87"/>
  <c r="AZ10" i="87"/>
  <c r="AS12" i="87"/>
  <c r="AW10" i="87"/>
  <c r="AT11" i="87"/>
  <c r="AV11" i="87"/>
  <c r="AX11" i="87"/>
  <c r="AY11" i="87"/>
  <c r="AZ11" i="87"/>
  <c r="AS13" i="87"/>
  <c r="AW11" i="87"/>
  <c r="AT12" i="87"/>
  <c r="AV12" i="87"/>
  <c r="AX12" i="87"/>
  <c r="AY12" i="87"/>
  <c r="AZ12" i="87"/>
  <c r="AS14" i="87"/>
  <c r="AW12" i="87"/>
  <c r="AT13" i="87"/>
  <c r="AV13" i="87"/>
  <c r="AX13" i="87"/>
  <c r="AY13" i="87"/>
  <c r="AZ13" i="87"/>
  <c r="AS15" i="87"/>
  <c r="AW13" i="87"/>
  <c r="AT14" i="87"/>
  <c r="AV14" i="87"/>
  <c r="AX14" i="87"/>
  <c r="AY14" i="87"/>
  <c r="AZ14" i="87"/>
  <c r="AS16" i="87"/>
  <c r="AW14" i="87"/>
  <c r="AT15" i="87"/>
  <c r="AV15" i="87"/>
  <c r="AX15" i="87"/>
  <c r="AY15" i="87"/>
  <c r="AZ15" i="87"/>
  <c r="AS17" i="87"/>
  <c r="AW15" i="87"/>
  <c r="AT16" i="87"/>
  <c r="AV16" i="87"/>
  <c r="AX16" i="87"/>
  <c r="AY16" i="87"/>
  <c r="AZ16" i="87"/>
  <c r="AS18" i="87"/>
  <c r="AW16" i="87"/>
  <c r="AT17" i="87"/>
  <c r="AV17" i="87"/>
  <c r="AX17" i="87"/>
  <c r="AY17" i="87"/>
  <c r="AZ17" i="87"/>
  <c r="AS19" i="87"/>
  <c r="AW17" i="87"/>
  <c r="AT18" i="87"/>
  <c r="AV18" i="87"/>
  <c r="AX18" i="87"/>
  <c r="AY18" i="87"/>
  <c r="AZ18" i="87"/>
  <c r="AS20" i="87"/>
  <c r="AW18" i="87"/>
  <c r="AT19" i="87"/>
  <c r="AV19" i="87"/>
  <c r="AX19" i="87"/>
  <c r="AY19" i="87"/>
  <c r="AZ19" i="87"/>
  <c r="AS21" i="87"/>
  <c r="AW19" i="87"/>
  <c r="AT20" i="87"/>
  <c r="AV20" i="87"/>
  <c r="AX20" i="87"/>
  <c r="AY20" i="87"/>
  <c r="AZ20" i="87"/>
  <c r="AS22" i="87"/>
  <c r="AW20" i="87"/>
  <c r="AT21" i="87"/>
  <c r="AV21" i="87"/>
  <c r="AX21" i="87"/>
  <c r="AY21" i="87"/>
  <c r="AZ21" i="87"/>
  <c r="AS23" i="87"/>
  <c r="AW21" i="87"/>
  <c r="AT22" i="87"/>
  <c r="AV22" i="87"/>
  <c r="AX22" i="87"/>
  <c r="AY22" i="87"/>
  <c r="AZ22" i="87"/>
  <c r="AS24" i="87"/>
  <c r="AW22" i="87"/>
  <c r="AT23" i="87"/>
  <c r="AV23" i="87"/>
  <c r="AX23" i="87"/>
  <c r="AY23" i="87"/>
  <c r="AZ23" i="87"/>
  <c r="AS25" i="87"/>
  <c r="AW23" i="87"/>
  <c r="AT24" i="87"/>
  <c r="AV24" i="87"/>
  <c r="AW24" i="87"/>
  <c r="AX24" i="87"/>
  <c r="AY24" i="87"/>
  <c r="AZ24" i="87"/>
  <c r="AZ25" i="87"/>
  <c r="AS26" i="87"/>
  <c r="AZ26" i="87"/>
  <c r="AS27" i="87"/>
  <c r="AZ27" i="87"/>
  <c r="AS28" i="87"/>
  <c r="AZ28" i="87"/>
  <c r="AS29" i="87"/>
  <c r="AZ29" i="87"/>
  <c r="AS30" i="87"/>
  <c r="AZ30" i="87"/>
  <c r="AS31" i="87"/>
  <c r="AZ31" i="87"/>
  <c r="AS32" i="87"/>
  <c r="AZ32" i="87"/>
  <c r="AS33" i="87"/>
  <c r="AZ33" i="87"/>
  <c r="AS34" i="87"/>
  <c r="AZ34" i="87"/>
  <c r="AS35" i="87"/>
  <c r="AZ35" i="87"/>
  <c r="AS36" i="87"/>
  <c r="AZ36" i="87"/>
  <c r="AS37" i="87"/>
  <c r="AZ37" i="87"/>
  <c r="AS38" i="87"/>
  <c r="AZ38" i="87"/>
  <c r="AS39" i="87"/>
  <c r="AZ39" i="87"/>
  <c r="AS40" i="87"/>
  <c r="AZ40" i="87"/>
  <c r="AS41" i="87"/>
  <c r="AZ41" i="87"/>
  <c r="AS42" i="87"/>
  <c r="AZ42" i="87"/>
  <c r="AS43" i="87"/>
  <c r="AZ43" i="87"/>
  <c r="AS44" i="87"/>
  <c r="AZ44" i="87"/>
  <c r="AS45" i="87"/>
  <c r="AZ45" i="87"/>
  <c r="AS46" i="87"/>
  <c r="AZ46" i="87"/>
  <c r="AS47" i="87"/>
  <c r="AZ47" i="87"/>
  <c r="AS48" i="87"/>
  <c r="AZ48" i="87"/>
  <c r="AS49" i="87"/>
  <c r="AZ49" i="87"/>
  <c r="AS50" i="87"/>
  <c r="AZ50" i="87"/>
  <c r="AS51" i="87"/>
  <c r="AZ51" i="87"/>
  <c r="AS52" i="87"/>
  <c r="AZ52" i="87"/>
  <c r="AS53" i="87"/>
  <c r="AZ53" i="87"/>
  <c r="AS54" i="87"/>
  <c r="AZ54" i="87"/>
  <c r="AS55" i="87"/>
  <c r="AZ55" i="87"/>
  <c r="AS56" i="87"/>
  <c r="AZ56" i="87"/>
  <c r="AS57" i="87"/>
  <c r="AZ57" i="87"/>
  <c r="AS58" i="87"/>
  <c r="AZ58" i="87"/>
  <c r="AS59" i="87"/>
  <c r="AZ59" i="87"/>
  <c r="AS60" i="87"/>
  <c r="AZ60" i="87"/>
  <c r="AS61" i="87"/>
  <c r="AZ61" i="87"/>
  <c r="AS62" i="87"/>
  <c r="AZ62" i="87"/>
  <c r="AS63" i="87"/>
  <c r="AZ63" i="87"/>
  <c r="AS64" i="87"/>
  <c r="AZ64" i="87"/>
  <c r="AS65" i="87"/>
  <c r="AZ65" i="87"/>
  <c r="AS66" i="87"/>
  <c r="AZ66" i="87"/>
  <c r="AS67" i="87"/>
  <c r="AZ67" i="87"/>
  <c r="AS68" i="87"/>
  <c r="AZ68" i="87"/>
  <c r="AS69" i="87"/>
  <c r="AZ69" i="87"/>
  <c r="AS70" i="87"/>
  <c r="AZ70" i="87"/>
  <c r="AS71" i="87"/>
  <c r="AZ71" i="87"/>
  <c r="AS72" i="87"/>
  <c r="AZ72" i="87"/>
  <c r="AS73" i="87"/>
  <c r="AZ73" i="87"/>
  <c r="AS74" i="87"/>
  <c r="AZ74" i="87"/>
  <c r="AS75" i="87"/>
  <c r="AZ75" i="87"/>
  <c r="AS76" i="87"/>
  <c r="AZ76" i="87"/>
  <c r="AS77" i="87"/>
  <c r="AZ77" i="87"/>
  <c r="AS78" i="87"/>
  <c r="AZ78" i="87"/>
  <c r="AS79" i="87"/>
  <c r="AZ79" i="87"/>
  <c r="AS80" i="87"/>
  <c r="AZ80" i="87"/>
  <c r="AS81" i="87"/>
  <c r="AZ81" i="87"/>
  <c r="AS82" i="87"/>
  <c r="AZ82" i="87"/>
  <c r="AS83" i="87"/>
  <c r="AZ83" i="87"/>
  <c r="AS84" i="87"/>
  <c r="AZ84" i="87"/>
  <c r="AS85" i="87"/>
  <c r="AZ85" i="87"/>
  <c r="AS86" i="87"/>
  <c r="AZ86" i="87"/>
  <c r="AS87" i="87"/>
  <c r="AZ87" i="87"/>
  <c r="AS88" i="87"/>
  <c r="AZ88" i="87"/>
  <c r="AS89" i="87"/>
  <c r="AZ89" i="87"/>
  <c r="AS90" i="87"/>
  <c r="AZ90" i="87"/>
  <c r="AS91" i="87"/>
  <c r="AZ91" i="87"/>
  <c r="AS92" i="87"/>
  <c r="AZ92" i="87"/>
  <c r="AS93" i="87"/>
  <c r="AZ93" i="87"/>
  <c r="AS94" i="87"/>
  <c r="AZ94" i="87"/>
  <c r="AS95" i="87"/>
  <c r="AZ95" i="87"/>
  <c r="AS96" i="87"/>
  <c r="AZ96" i="87"/>
  <c r="AS97" i="87"/>
  <c r="AZ97" i="87"/>
  <c r="AS98" i="87"/>
  <c r="AZ98" i="87"/>
  <c r="AS99" i="87"/>
  <c r="AZ99" i="87"/>
  <c r="AS100" i="87"/>
  <c r="AZ100" i="87"/>
  <c r="AS101" i="87"/>
  <c r="AZ101" i="87"/>
  <c r="AS102" i="87"/>
  <c r="AZ102" i="87"/>
  <c r="AS103" i="87"/>
  <c r="AZ103" i="87"/>
  <c r="AS104" i="87"/>
  <c r="AZ104" i="87"/>
  <c r="AS105" i="87"/>
  <c r="AZ105" i="87"/>
  <c r="AS106" i="87"/>
  <c r="AZ106" i="87"/>
  <c r="AS107" i="87"/>
  <c r="AZ107" i="87"/>
  <c r="AS108" i="87"/>
  <c r="AZ108" i="87"/>
  <c r="AS109" i="87"/>
  <c r="AZ109" i="87"/>
  <c r="AS110" i="87"/>
  <c r="AZ110" i="87"/>
  <c r="AS111" i="87"/>
  <c r="AZ111" i="87"/>
  <c r="BA5" i="87"/>
  <c r="R15" i="87"/>
  <c r="AX4" i="87"/>
  <c r="AY4" i="87"/>
  <c r="AZ4" i="87"/>
  <c r="S15" i="87"/>
  <c r="T15" i="87"/>
  <c r="V15" i="87"/>
  <c r="I26" i="87"/>
  <c r="G31" i="87"/>
  <c r="R6" i="86"/>
  <c r="S6" i="86"/>
  <c r="V39" i="86"/>
  <c r="U39" i="86"/>
  <c r="T6" i="86"/>
  <c r="S12" i="86"/>
  <c r="T12" i="86"/>
  <c r="I25" i="86"/>
  <c r="AS5" i="86"/>
  <c r="AS6" i="86"/>
  <c r="Q39" i="86"/>
  <c r="AT4" i="86"/>
  <c r="AU4" i="86"/>
  <c r="AT5" i="86"/>
  <c r="AV5" i="86"/>
  <c r="AX5" i="86"/>
  <c r="J39" i="86"/>
  <c r="AY5" i="86"/>
  <c r="AZ5" i="86"/>
  <c r="AS7" i="86"/>
  <c r="AW5" i="86"/>
  <c r="AT6" i="86"/>
  <c r="AV6" i="86"/>
  <c r="AX6" i="86"/>
  <c r="AY6" i="86"/>
  <c r="AZ6" i="86"/>
  <c r="AS8" i="86"/>
  <c r="AW6" i="86"/>
  <c r="AT7" i="86"/>
  <c r="AV7" i="86"/>
  <c r="AX7" i="86"/>
  <c r="AY7" i="86"/>
  <c r="AZ7" i="86"/>
  <c r="AS9" i="86"/>
  <c r="AW7" i="86"/>
  <c r="AT8" i="86"/>
  <c r="AV8" i="86"/>
  <c r="AX8" i="86"/>
  <c r="AY8" i="86"/>
  <c r="AZ8" i="86"/>
  <c r="AS10" i="86"/>
  <c r="AW8" i="86"/>
  <c r="AT9" i="86"/>
  <c r="AV9" i="86"/>
  <c r="AX9" i="86"/>
  <c r="AY9" i="86"/>
  <c r="AZ9" i="86"/>
  <c r="AS11" i="86"/>
  <c r="AW9" i="86"/>
  <c r="AT10" i="86"/>
  <c r="AV10" i="86"/>
  <c r="AX10" i="86"/>
  <c r="AY10" i="86"/>
  <c r="AZ10" i="86"/>
  <c r="AS12" i="86"/>
  <c r="AW10" i="86"/>
  <c r="AT11" i="86"/>
  <c r="AV11" i="86"/>
  <c r="AX11" i="86"/>
  <c r="AY11" i="86"/>
  <c r="AZ11" i="86"/>
  <c r="AS13" i="86"/>
  <c r="AW11" i="86"/>
  <c r="AT12" i="86"/>
  <c r="AV12" i="86"/>
  <c r="AX12" i="86"/>
  <c r="AY12" i="86"/>
  <c r="AZ12" i="86"/>
  <c r="AS14" i="86"/>
  <c r="AW12" i="86"/>
  <c r="AT13" i="86"/>
  <c r="AV13" i="86"/>
  <c r="AX13" i="86"/>
  <c r="AY13" i="86"/>
  <c r="AZ13" i="86"/>
  <c r="AS15" i="86"/>
  <c r="AW13" i="86"/>
  <c r="AT14" i="86"/>
  <c r="AV14" i="86"/>
  <c r="AX14" i="86"/>
  <c r="AY14" i="86"/>
  <c r="AZ14" i="86"/>
  <c r="AS16" i="86"/>
  <c r="AW14" i="86"/>
  <c r="AT15" i="86"/>
  <c r="AV15" i="86"/>
  <c r="AX15" i="86"/>
  <c r="AY15" i="86"/>
  <c r="AZ15" i="86"/>
  <c r="AS17" i="86"/>
  <c r="AW15" i="86"/>
  <c r="AT16" i="86"/>
  <c r="AV16" i="86"/>
  <c r="AX16" i="86"/>
  <c r="AY16" i="86"/>
  <c r="AZ16" i="86"/>
  <c r="AS18" i="86"/>
  <c r="AW16" i="86"/>
  <c r="AT17" i="86"/>
  <c r="AV17" i="86"/>
  <c r="AX17" i="86"/>
  <c r="AY17" i="86"/>
  <c r="AZ17" i="86"/>
  <c r="AS19" i="86"/>
  <c r="AW17" i="86"/>
  <c r="AT18" i="86"/>
  <c r="AV18" i="86"/>
  <c r="AX18" i="86"/>
  <c r="AY18" i="86"/>
  <c r="AZ18" i="86"/>
  <c r="AS20" i="86"/>
  <c r="AW18" i="86"/>
  <c r="AT19" i="86"/>
  <c r="AV19" i="86"/>
  <c r="AX19" i="86"/>
  <c r="AY19" i="86"/>
  <c r="AZ19" i="86"/>
  <c r="AS21" i="86"/>
  <c r="AW19" i="86"/>
  <c r="AT20" i="86"/>
  <c r="AV20" i="86"/>
  <c r="AX20" i="86"/>
  <c r="AY20" i="86"/>
  <c r="AZ20" i="86"/>
  <c r="AS22" i="86"/>
  <c r="AW20" i="86"/>
  <c r="AT21" i="86"/>
  <c r="AV21" i="86"/>
  <c r="AX21" i="86"/>
  <c r="AY21" i="86"/>
  <c r="AZ21" i="86"/>
  <c r="AS23" i="86"/>
  <c r="AW21" i="86"/>
  <c r="AT22" i="86"/>
  <c r="AV22" i="86"/>
  <c r="AX22" i="86"/>
  <c r="AY22" i="86"/>
  <c r="AZ22" i="86"/>
  <c r="AS24" i="86"/>
  <c r="AW22" i="86"/>
  <c r="AT23" i="86"/>
  <c r="AV23" i="86"/>
  <c r="AX23" i="86"/>
  <c r="AY23" i="86"/>
  <c r="AZ23" i="86"/>
  <c r="AS25" i="86"/>
  <c r="AW23" i="86"/>
  <c r="AT24" i="86"/>
  <c r="AV24" i="86"/>
  <c r="AW24" i="86"/>
  <c r="AX24" i="86"/>
  <c r="AY24" i="86"/>
  <c r="AZ24" i="86"/>
  <c r="AZ25" i="86"/>
  <c r="AS26" i="86"/>
  <c r="AZ26" i="86"/>
  <c r="AS27" i="86"/>
  <c r="AZ27" i="86"/>
  <c r="AS28" i="86"/>
  <c r="AZ28" i="86"/>
  <c r="AS29" i="86"/>
  <c r="AZ29" i="86"/>
  <c r="AS30" i="86"/>
  <c r="AZ30" i="86"/>
  <c r="AS31" i="86"/>
  <c r="AZ31" i="86"/>
  <c r="AS32" i="86"/>
  <c r="AZ32" i="86"/>
  <c r="AS33" i="86"/>
  <c r="AZ33" i="86"/>
  <c r="AS34" i="86"/>
  <c r="AZ34" i="86"/>
  <c r="AS35" i="86"/>
  <c r="AZ35" i="86"/>
  <c r="AS36" i="86"/>
  <c r="AZ36" i="86"/>
  <c r="AS37" i="86"/>
  <c r="AZ37" i="86"/>
  <c r="AS38" i="86"/>
  <c r="AZ38" i="86"/>
  <c r="AS39" i="86"/>
  <c r="AZ39" i="86"/>
  <c r="AS40" i="86"/>
  <c r="AZ40" i="86"/>
  <c r="AS41" i="86"/>
  <c r="AZ41" i="86"/>
  <c r="AS42" i="86"/>
  <c r="AZ42" i="86"/>
  <c r="AS43" i="86"/>
  <c r="AZ43" i="86"/>
  <c r="AS44" i="86"/>
  <c r="AZ44" i="86"/>
  <c r="AS45" i="86"/>
  <c r="AZ45" i="86"/>
  <c r="AS46" i="86"/>
  <c r="AZ46" i="86"/>
  <c r="AS47" i="86"/>
  <c r="AZ47" i="86"/>
  <c r="AS48" i="86"/>
  <c r="AZ48" i="86"/>
  <c r="AS49" i="86"/>
  <c r="AZ49" i="86"/>
  <c r="AS50" i="86"/>
  <c r="AZ50" i="86"/>
  <c r="AS51" i="86"/>
  <c r="AZ51" i="86"/>
  <c r="AS52" i="86"/>
  <c r="AZ52" i="86"/>
  <c r="AS53" i="86"/>
  <c r="AZ53" i="86"/>
  <c r="AS54" i="86"/>
  <c r="AZ54" i="86"/>
  <c r="AS55" i="86"/>
  <c r="AZ55" i="86"/>
  <c r="AS56" i="86"/>
  <c r="AZ56" i="86"/>
  <c r="AS57" i="86"/>
  <c r="AZ57" i="86"/>
  <c r="AS58" i="86"/>
  <c r="AZ58" i="86"/>
  <c r="AS59" i="86"/>
  <c r="AZ59" i="86"/>
  <c r="AS60" i="86"/>
  <c r="AZ60" i="86"/>
  <c r="AS61" i="86"/>
  <c r="AZ61" i="86"/>
  <c r="AS62" i="86"/>
  <c r="AZ62" i="86"/>
  <c r="AS63" i="86"/>
  <c r="AZ63" i="86"/>
  <c r="AS64" i="86"/>
  <c r="AZ64" i="86"/>
  <c r="AS65" i="86"/>
  <c r="AZ65" i="86"/>
  <c r="AS66" i="86"/>
  <c r="AZ66" i="86"/>
  <c r="AS67" i="86"/>
  <c r="AZ67" i="86"/>
  <c r="AS68" i="86"/>
  <c r="AZ68" i="86"/>
  <c r="AS69" i="86"/>
  <c r="AZ69" i="86"/>
  <c r="AS70" i="86"/>
  <c r="AZ70" i="86"/>
  <c r="AS71" i="86"/>
  <c r="AZ71" i="86"/>
  <c r="AS72" i="86"/>
  <c r="AZ72" i="86"/>
  <c r="AS73" i="86"/>
  <c r="AZ73" i="86"/>
  <c r="AS74" i="86"/>
  <c r="AZ74" i="86"/>
  <c r="AS75" i="86"/>
  <c r="AZ75" i="86"/>
  <c r="AS76" i="86"/>
  <c r="AZ76" i="86"/>
  <c r="AS77" i="86"/>
  <c r="AZ77" i="86"/>
  <c r="AS78" i="86"/>
  <c r="AZ78" i="86"/>
  <c r="AS79" i="86"/>
  <c r="AZ79" i="86"/>
  <c r="AS80" i="86"/>
  <c r="AZ80" i="86"/>
  <c r="AS81" i="86"/>
  <c r="AZ81" i="86"/>
  <c r="AS82" i="86"/>
  <c r="AZ82" i="86"/>
  <c r="AS83" i="86"/>
  <c r="AZ83" i="86"/>
  <c r="AS84" i="86"/>
  <c r="AZ84" i="86"/>
  <c r="AS85" i="86"/>
  <c r="AZ85" i="86"/>
  <c r="AS86" i="86"/>
  <c r="AZ86" i="86"/>
  <c r="AS87" i="86"/>
  <c r="AZ87" i="86"/>
  <c r="AS88" i="86"/>
  <c r="AZ88" i="86"/>
  <c r="AS89" i="86"/>
  <c r="AZ89" i="86"/>
  <c r="AS90" i="86"/>
  <c r="AZ90" i="86"/>
  <c r="AS91" i="86"/>
  <c r="AZ91" i="86"/>
  <c r="AS92" i="86"/>
  <c r="AZ92" i="86"/>
  <c r="AS93" i="86"/>
  <c r="AZ93" i="86"/>
  <c r="AS94" i="86"/>
  <c r="AZ94" i="86"/>
  <c r="AS95" i="86"/>
  <c r="AZ95" i="86"/>
  <c r="AS96" i="86"/>
  <c r="AZ96" i="86"/>
  <c r="AS97" i="86"/>
  <c r="AZ97" i="86"/>
  <c r="AS98" i="86"/>
  <c r="AZ98" i="86"/>
  <c r="AS99" i="86"/>
  <c r="AZ99" i="86"/>
  <c r="AS100" i="86"/>
  <c r="AZ100" i="86"/>
  <c r="AS101" i="86"/>
  <c r="AZ101" i="86"/>
  <c r="AS102" i="86"/>
  <c r="AZ102" i="86"/>
  <c r="AS103" i="86"/>
  <c r="AZ103" i="86"/>
  <c r="AS104" i="86"/>
  <c r="AZ104" i="86"/>
  <c r="AS105" i="86"/>
  <c r="AZ105" i="86"/>
  <c r="AS106" i="86"/>
  <c r="AZ106" i="86"/>
  <c r="AS107" i="86"/>
  <c r="AZ107" i="86"/>
  <c r="AS108" i="86"/>
  <c r="AZ108" i="86"/>
  <c r="AS109" i="86"/>
  <c r="AZ109" i="86"/>
  <c r="AS110" i="86"/>
  <c r="AZ110" i="86"/>
  <c r="AS111" i="86"/>
  <c r="AZ111" i="86"/>
  <c r="BA5" i="86"/>
  <c r="R15" i="86"/>
  <c r="AX4" i="86"/>
  <c r="AY4" i="86"/>
  <c r="AZ4" i="86"/>
  <c r="S15" i="86"/>
  <c r="T15" i="86"/>
  <c r="V15" i="86"/>
  <c r="I26" i="86"/>
  <c r="G31" i="86"/>
  <c r="S39" i="93"/>
  <c r="R39" i="93"/>
  <c r="O39" i="93"/>
  <c r="H39" i="93"/>
  <c r="G39" i="93"/>
  <c r="D39" i="93"/>
  <c r="S39" i="95"/>
  <c r="R39" i="95"/>
  <c r="O39" i="95"/>
  <c r="H39" i="95"/>
  <c r="G39" i="95"/>
  <c r="D39" i="95"/>
  <c r="S39" i="94"/>
  <c r="R39" i="94"/>
  <c r="O39" i="94"/>
  <c r="H39" i="94"/>
  <c r="G39" i="94"/>
  <c r="D39" i="94"/>
  <c r="S39" i="92"/>
  <c r="R39" i="92"/>
  <c r="O39" i="92"/>
  <c r="H39" i="92"/>
  <c r="S39" i="90"/>
  <c r="R39" i="90"/>
  <c r="O39" i="90"/>
  <c r="H39" i="90"/>
  <c r="G39" i="90"/>
  <c r="D39" i="90"/>
  <c r="S39" i="89"/>
  <c r="R39" i="89"/>
  <c r="O39" i="89"/>
  <c r="H39" i="89"/>
  <c r="G39" i="89"/>
  <c r="D39" i="89"/>
  <c r="S39" i="91"/>
  <c r="R39" i="91"/>
  <c r="O39" i="91"/>
  <c r="H39" i="91"/>
  <c r="G39" i="91"/>
  <c r="D39" i="91"/>
  <c r="O39" i="88"/>
  <c r="H39" i="88"/>
  <c r="G39" i="88"/>
  <c r="D39" i="88"/>
  <c r="S39" i="87"/>
  <c r="O39" i="87"/>
  <c r="H39" i="87"/>
  <c r="G39" i="87"/>
  <c r="D39" i="87"/>
  <c r="O39" i="86"/>
  <c r="H39" i="86"/>
  <c r="G39" i="86"/>
  <c r="D39" i="86"/>
  <c r="D39" i="96"/>
  <c r="BB5" i="5"/>
  <c r="BB6" i="5"/>
  <c r="BB7" i="5"/>
  <c r="BB8" i="5"/>
  <c r="BB9" i="5"/>
  <c r="BB10" i="5"/>
  <c r="BB11" i="5"/>
  <c r="BB12" i="5"/>
  <c r="BB17" i="5"/>
  <c r="M18" i="96"/>
  <c r="AT18" i="5"/>
  <c r="M19" i="96"/>
  <c r="AU18" i="5"/>
  <c r="D7" i="96"/>
  <c r="G14" i="96"/>
  <c r="R6" i="96"/>
  <c r="G17" i="96"/>
  <c r="S6" i="96"/>
  <c r="G11" i="96"/>
  <c r="V39" i="96"/>
  <c r="U39" i="96"/>
  <c r="T6" i="96"/>
  <c r="S12" i="96"/>
  <c r="T12" i="96"/>
  <c r="I25" i="96"/>
  <c r="D14" i="96"/>
  <c r="AS5" i="96"/>
  <c r="AS6" i="96"/>
  <c r="D10" i="96"/>
  <c r="D11" i="96"/>
  <c r="AT4" i="96"/>
  <c r="AU4" i="96"/>
  <c r="AT5" i="96"/>
  <c r="AV5" i="96"/>
  <c r="AX5" i="96"/>
  <c r="J39" i="96"/>
  <c r="AY5" i="96"/>
  <c r="AZ5" i="96"/>
  <c r="AS7" i="96"/>
  <c r="AW5" i="96"/>
  <c r="AT6" i="96"/>
  <c r="AV6" i="96"/>
  <c r="AX6" i="96"/>
  <c r="AY6" i="96"/>
  <c r="AZ6" i="96"/>
  <c r="AS8" i="96"/>
  <c r="AW6" i="96"/>
  <c r="AT7" i="96"/>
  <c r="AV7" i="96"/>
  <c r="AX7" i="96"/>
  <c r="AY7" i="96"/>
  <c r="AZ7" i="96"/>
  <c r="AS9" i="96"/>
  <c r="AW7" i="96"/>
  <c r="AT8" i="96"/>
  <c r="AV8" i="96"/>
  <c r="AX8" i="96"/>
  <c r="AY8" i="96"/>
  <c r="AZ8" i="96"/>
  <c r="AS10" i="96"/>
  <c r="AW8" i="96"/>
  <c r="AT9" i="96"/>
  <c r="AV9" i="96"/>
  <c r="AX9" i="96"/>
  <c r="AY9" i="96"/>
  <c r="AZ9" i="96"/>
  <c r="AS11" i="96"/>
  <c r="AW9" i="96"/>
  <c r="AT10" i="96"/>
  <c r="AV10" i="96"/>
  <c r="AX10" i="96"/>
  <c r="AY10" i="96"/>
  <c r="AZ10" i="96"/>
  <c r="AS12" i="96"/>
  <c r="AW10" i="96"/>
  <c r="AT11" i="96"/>
  <c r="AV11" i="96"/>
  <c r="AX11" i="96"/>
  <c r="AY11" i="96"/>
  <c r="AZ11" i="96"/>
  <c r="AS13" i="96"/>
  <c r="AW11" i="96"/>
  <c r="AT12" i="96"/>
  <c r="AV12" i="96"/>
  <c r="AX12" i="96"/>
  <c r="AY12" i="96"/>
  <c r="AZ12" i="96"/>
  <c r="AS14" i="96"/>
  <c r="AW12" i="96"/>
  <c r="AT13" i="96"/>
  <c r="AV13" i="96"/>
  <c r="AX13" i="96"/>
  <c r="AY13" i="96"/>
  <c r="AZ13" i="96"/>
  <c r="AS15" i="96"/>
  <c r="AW13" i="96"/>
  <c r="AT14" i="96"/>
  <c r="AV14" i="96"/>
  <c r="AX14" i="96"/>
  <c r="AY14" i="96"/>
  <c r="AZ14" i="96"/>
  <c r="AS16" i="96"/>
  <c r="AW14" i="96"/>
  <c r="AT15" i="96"/>
  <c r="AV15" i="96"/>
  <c r="AX15" i="96"/>
  <c r="AY15" i="96"/>
  <c r="AZ15" i="96"/>
  <c r="AS17" i="96"/>
  <c r="AW15" i="96"/>
  <c r="AT16" i="96"/>
  <c r="AV16" i="96"/>
  <c r="AX16" i="96"/>
  <c r="AY16" i="96"/>
  <c r="AZ16" i="96"/>
  <c r="AS18" i="96"/>
  <c r="AW16" i="96"/>
  <c r="AT17" i="96"/>
  <c r="AV17" i="96"/>
  <c r="AX17" i="96"/>
  <c r="AY17" i="96"/>
  <c r="AZ17" i="96"/>
  <c r="AS19" i="96"/>
  <c r="AW17" i="96"/>
  <c r="AT18" i="96"/>
  <c r="AV18" i="96"/>
  <c r="AX18" i="96"/>
  <c r="AY18" i="96"/>
  <c r="AZ18" i="96"/>
  <c r="AS20" i="96"/>
  <c r="AW18" i="96"/>
  <c r="AT19" i="96"/>
  <c r="AV19" i="96"/>
  <c r="AX19" i="96"/>
  <c r="AY19" i="96"/>
  <c r="AZ19" i="96"/>
  <c r="AS21" i="96"/>
  <c r="AW19" i="96"/>
  <c r="AT20" i="96"/>
  <c r="AV20" i="96"/>
  <c r="AX20" i="96"/>
  <c r="AY20" i="96"/>
  <c r="AZ20" i="96"/>
  <c r="AS22" i="96"/>
  <c r="AW20" i="96"/>
  <c r="AT21" i="96"/>
  <c r="AV21" i="96"/>
  <c r="AX21" i="96"/>
  <c r="AY21" i="96"/>
  <c r="AZ21" i="96"/>
  <c r="AS23" i="96"/>
  <c r="AW21" i="96"/>
  <c r="AT22" i="96"/>
  <c r="AV22" i="96"/>
  <c r="AX22" i="96"/>
  <c r="AY22" i="96"/>
  <c r="AZ22" i="96"/>
  <c r="AS24" i="96"/>
  <c r="AW22" i="96"/>
  <c r="AT23" i="96"/>
  <c r="AV23" i="96"/>
  <c r="AX23" i="96"/>
  <c r="AY23" i="96"/>
  <c r="AZ23" i="96"/>
  <c r="AS25" i="96"/>
  <c r="AW23" i="96"/>
  <c r="AT24" i="96"/>
  <c r="AV24" i="96"/>
  <c r="AW24" i="96"/>
  <c r="D16" i="96"/>
  <c r="AX24" i="96"/>
  <c r="AY24" i="96"/>
  <c r="AZ24" i="96"/>
  <c r="AZ25" i="96"/>
  <c r="AS26" i="96"/>
  <c r="AZ26" i="96"/>
  <c r="AS27" i="96"/>
  <c r="AZ27" i="96"/>
  <c r="AS28" i="96"/>
  <c r="AZ28" i="96"/>
  <c r="AS29" i="96"/>
  <c r="AZ29" i="96"/>
  <c r="AS30" i="96"/>
  <c r="AZ30" i="96"/>
  <c r="AS31" i="96"/>
  <c r="AZ31" i="96"/>
  <c r="AS32" i="96"/>
  <c r="AZ32" i="96"/>
  <c r="AS33" i="96"/>
  <c r="AZ33" i="96"/>
  <c r="AS34" i="96"/>
  <c r="AZ34" i="96"/>
  <c r="AS35" i="96"/>
  <c r="AZ35" i="96"/>
  <c r="AS36" i="96"/>
  <c r="AZ36" i="96"/>
  <c r="AS37" i="96"/>
  <c r="AZ37" i="96"/>
  <c r="AS38" i="96"/>
  <c r="AZ38" i="96"/>
  <c r="AS39" i="96"/>
  <c r="AZ39" i="96"/>
  <c r="AS40" i="96"/>
  <c r="AZ40" i="96"/>
  <c r="AS41" i="96"/>
  <c r="AZ41" i="96"/>
  <c r="AS42" i="96"/>
  <c r="AZ42" i="96"/>
  <c r="AS43" i="96"/>
  <c r="AZ43" i="96"/>
  <c r="AS44" i="96"/>
  <c r="AZ44" i="96"/>
  <c r="AS45" i="96"/>
  <c r="AZ45" i="96"/>
  <c r="AS46" i="96"/>
  <c r="AZ46" i="96"/>
  <c r="AS47" i="96"/>
  <c r="AZ47" i="96"/>
  <c r="AS48" i="96"/>
  <c r="AZ48" i="96"/>
  <c r="AS49" i="96"/>
  <c r="AZ49" i="96"/>
  <c r="AS50" i="96"/>
  <c r="AZ50" i="96"/>
  <c r="AS51" i="96"/>
  <c r="AZ51" i="96"/>
  <c r="AS52" i="96"/>
  <c r="AZ52" i="96"/>
  <c r="AS53" i="96"/>
  <c r="AZ53" i="96"/>
  <c r="AS54" i="96"/>
  <c r="AZ54" i="96"/>
  <c r="AS55" i="96"/>
  <c r="AZ55" i="96"/>
  <c r="AS56" i="96"/>
  <c r="AZ56" i="96"/>
  <c r="AS57" i="96"/>
  <c r="AZ57" i="96"/>
  <c r="AS58" i="96"/>
  <c r="AZ58" i="96"/>
  <c r="AS59" i="96"/>
  <c r="AZ59" i="96"/>
  <c r="AS60" i="96"/>
  <c r="AZ60" i="96"/>
  <c r="AS61" i="96"/>
  <c r="AZ61" i="96"/>
  <c r="AS62" i="96"/>
  <c r="AZ62" i="96"/>
  <c r="AS63" i="96"/>
  <c r="AZ63" i="96"/>
  <c r="AS64" i="96"/>
  <c r="AZ64" i="96"/>
  <c r="AS65" i="96"/>
  <c r="AZ65" i="96"/>
  <c r="AS66" i="96"/>
  <c r="AZ66" i="96"/>
  <c r="AS67" i="96"/>
  <c r="AZ67" i="96"/>
  <c r="AS68" i="96"/>
  <c r="AZ68" i="96"/>
  <c r="AS69" i="96"/>
  <c r="AZ69" i="96"/>
  <c r="AS70" i="96"/>
  <c r="AZ70" i="96"/>
  <c r="AS71" i="96"/>
  <c r="AZ71" i="96"/>
  <c r="AS72" i="96"/>
  <c r="AZ72" i="96"/>
  <c r="AS73" i="96"/>
  <c r="AZ73" i="96"/>
  <c r="AS74" i="96"/>
  <c r="AZ74" i="96"/>
  <c r="AS75" i="96"/>
  <c r="AZ75" i="96"/>
  <c r="AS76" i="96"/>
  <c r="AZ76" i="96"/>
  <c r="AS77" i="96"/>
  <c r="AZ77" i="96"/>
  <c r="AS78" i="96"/>
  <c r="AZ78" i="96"/>
  <c r="AS79" i="96"/>
  <c r="AZ79" i="96"/>
  <c r="AS80" i="96"/>
  <c r="AZ80" i="96"/>
  <c r="AS81" i="96"/>
  <c r="AZ81" i="96"/>
  <c r="AS82" i="96"/>
  <c r="AZ82" i="96"/>
  <c r="AS83" i="96"/>
  <c r="AZ83" i="96"/>
  <c r="AS84" i="96"/>
  <c r="AZ84" i="96"/>
  <c r="AS85" i="96"/>
  <c r="AZ85" i="96"/>
  <c r="AS86" i="96"/>
  <c r="AZ86" i="96"/>
  <c r="AS87" i="96"/>
  <c r="AZ87" i="96"/>
  <c r="AS88" i="96"/>
  <c r="AZ88" i="96"/>
  <c r="AS89" i="96"/>
  <c r="AZ89" i="96"/>
  <c r="AS90" i="96"/>
  <c r="AZ90" i="96"/>
  <c r="AS91" i="96"/>
  <c r="AZ91" i="96"/>
  <c r="AS92" i="96"/>
  <c r="AZ92" i="96"/>
  <c r="AS93" i="96"/>
  <c r="AZ93" i="96"/>
  <c r="AS94" i="96"/>
  <c r="AZ94" i="96"/>
  <c r="AS95" i="96"/>
  <c r="AZ95" i="96"/>
  <c r="AS96" i="96"/>
  <c r="AZ96" i="96"/>
  <c r="AS97" i="96"/>
  <c r="AZ97" i="96"/>
  <c r="AS98" i="96"/>
  <c r="AZ98" i="96"/>
  <c r="AS99" i="96"/>
  <c r="AZ99" i="96"/>
  <c r="AS100" i="96"/>
  <c r="AZ100" i="96"/>
  <c r="AS101" i="96"/>
  <c r="AZ101" i="96"/>
  <c r="AS102" i="96"/>
  <c r="AZ102" i="96"/>
  <c r="AS103" i="96"/>
  <c r="AZ103" i="96"/>
  <c r="AS104" i="96"/>
  <c r="AZ104" i="96"/>
  <c r="AS105" i="96"/>
  <c r="AZ105" i="96"/>
  <c r="AS106" i="96"/>
  <c r="AZ106" i="96"/>
  <c r="AS107" i="96"/>
  <c r="AZ107" i="96"/>
  <c r="AS108" i="96"/>
  <c r="AZ108" i="96"/>
  <c r="AS109" i="96"/>
  <c r="AZ109" i="96"/>
  <c r="AS110" i="96"/>
  <c r="AZ110" i="96"/>
  <c r="AS111" i="96"/>
  <c r="AZ111" i="96"/>
  <c r="BA5" i="96"/>
  <c r="R15" i="96"/>
  <c r="AX4" i="96"/>
  <c r="AY4" i="96"/>
  <c r="AZ4" i="96"/>
  <c r="S15" i="96"/>
  <c r="T15" i="96"/>
  <c r="V15" i="96"/>
  <c r="I26" i="96"/>
  <c r="G31" i="96"/>
  <c r="M20" i="96"/>
  <c r="J20" i="96"/>
  <c r="J18" i="96"/>
  <c r="J17" i="96"/>
  <c r="J15" i="96"/>
  <c r="J14" i="96"/>
  <c r="J11" i="96"/>
  <c r="J10" i="96"/>
  <c r="J9" i="96"/>
  <c r="J8" i="96"/>
  <c r="J7" i="96"/>
  <c r="R5" i="86"/>
  <c r="S5" i="86"/>
  <c r="T5" i="86"/>
  <c r="AB7" i="86"/>
  <c r="AB15" i="86"/>
  <c r="V5" i="86"/>
  <c r="S10" i="86"/>
  <c r="T10" i="86"/>
  <c r="V10" i="86"/>
  <c r="I34" i="86"/>
  <c r="J5" i="5"/>
  <c r="R5" i="87"/>
  <c r="S5" i="87"/>
  <c r="T5" i="87"/>
  <c r="AB7" i="87"/>
  <c r="AB15" i="87"/>
  <c r="V5" i="87"/>
  <c r="S10" i="87"/>
  <c r="T10" i="87"/>
  <c r="V10" i="87"/>
  <c r="I34" i="87"/>
  <c r="J6" i="5"/>
  <c r="R5" i="88"/>
  <c r="S5" i="88"/>
  <c r="T5" i="88"/>
  <c r="AB7" i="88"/>
  <c r="AB15" i="88"/>
  <c r="V5" i="88"/>
  <c r="S10" i="88"/>
  <c r="T10" i="88"/>
  <c r="V10" i="88"/>
  <c r="I34" i="88"/>
  <c r="J7" i="5"/>
  <c r="R5" i="91"/>
  <c r="S5" i="91"/>
  <c r="T5" i="91"/>
  <c r="AB7" i="91"/>
  <c r="AB15" i="91"/>
  <c r="V5" i="91"/>
  <c r="S10" i="91"/>
  <c r="T10" i="91"/>
  <c r="V10" i="91"/>
  <c r="I34" i="91"/>
  <c r="J8" i="5"/>
  <c r="R5" i="89"/>
  <c r="S5" i="89"/>
  <c r="T5" i="89"/>
  <c r="AB7" i="89"/>
  <c r="AB15" i="89"/>
  <c r="V5" i="89"/>
  <c r="S10" i="89"/>
  <c r="T10" i="89"/>
  <c r="V10" i="89"/>
  <c r="I34" i="89"/>
  <c r="J9" i="5"/>
  <c r="R5" i="90"/>
  <c r="S5" i="90"/>
  <c r="T5" i="90"/>
  <c r="AB7" i="90"/>
  <c r="AB15" i="90"/>
  <c r="V5" i="90"/>
  <c r="S10" i="90"/>
  <c r="T10" i="90"/>
  <c r="V10" i="90"/>
  <c r="I34" i="90"/>
  <c r="J10" i="5"/>
  <c r="V5" i="92"/>
  <c r="R5" i="92"/>
  <c r="S5" i="92"/>
  <c r="T5" i="92"/>
  <c r="AB7" i="92"/>
  <c r="AB15" i="92"/>
  <c r="S10" i="92"/>
  <c r="T10" i="92"/>
  <c r="V10" i="92"/>
  <c r="I34" i="92"/>
  <c r="J11" i="5"/>
  <c r="R5" i="94"/>
  <c r="S5" i="94"/>
  <c r="T5" i="94"/>
  <c r="AB7" i="94"/>
  <c r="AB15" i="94"/>
  <c r="V5" i="94"/>
  <c r="S10" i="94"/>
  <c r="T10" i="94"/>
  <c r="V10" i="94"/>
  <c r="I34" i="94"/>
  <c r="J12" i="5"/>
  <c r="R5" i="95"/>
  <c r="S5" i="95"/>
  <c r="T5" i="95"/>
  <c r="AB7" i="95"/>
  <c r="AB15" i="95"/>
  <c r="V5" i="95"/>
  <c r="S10" i="95"/>
  <c r="T10" i="95"/>
  <c r="V10" i="95"/>
  <c r="I34" i="95"/>
  <c r="J13" i="5"/>
  <c r="R5" i="93"/>
  <c r="S5" i="93"/>
  <c r="T5" i="93"/>
  <c r="AB7" i="93"/>
  <c r="AB15" i="93"/>
  <c r="V5" i="93"/>
  <c r="S10" i="93"/>
  <c r="T10" i="93"/>
  <c r="V10" i="93"/>
  <c r="I34" i="93"/>
  <c r="J14" i="5"/>
  <c r="J17" i="5"/>
  <c r="G20" i="96"/>
  <c r="Y18" i="5"/>
  <c r="G15" i="96"/>
  <c r="G10" i="96"/>
  <c r="G9" i="96"/>
  <c r="G8" i="96"/>
  <c r="G7" i="96"/>
  <c r="AY111" i="96"/>
  <c r="AT111" i="96"/>
  <c r="AV111" i="96"/>
  <c r="AW111" i="96"/>
  <c r="AX111" i="96"/>
  <c r="AY110" i="96"/>
  <c r="AT110" i="96"/>
  <c r="AV110" i="96"/>
  <c r="AW110" i="96"/>
  <c r="AX110" i="96"/>
  <c r="AY109" i="96"/>
  <c r="AT109" i="96"/>
  <c r="AV109" i="96"/>
  <c r="AW109" i="96"/>
  <c r="AX109" i="96"/>
  <c r="AY108" i="96"/>
  <c r="AT108" i="96"/>
  <c r="AV108" i="96"/>
  <c r="AW108" i="96"/>
  <c r="AX108" i="96"/>
  <c r="AY107" i="96"/>
  <c r="AT107" i="96"/>
  <c r="AV107" i="96"/>
  <c r="AW107" i="96"/>
  <c r="AX107" i="96"/>
  <c r="AY106" i="96"/>
  <c r="AT106" i="96"/>
  <c r="AV106" i="96"/>
  <c r="AW106" i="96"/>
  <c r="AX106" i="96"/>
  <c r="AY105" i="96"/>
  <c r="AT105" i="96"/>
  <c r="AV105" i="96"/>
  <c r="AW105" i="96"/>
  <c r="AX105" i="96"/>
  <c r="AY104" i="96"/>
  <c r="AT104" i="96"/>
  <c r="AV104" i="96"/>
  <c r="AW104" i="96"/>
  <c r="AX104" i="96"/>
  <c r="AY103" i="96"/>
  <c r="AT103" i="96"/>
  <c r="AV103" i="96"/>
  <c r="AW103" i="96"/>
  <c r="AX103" i="96"/>
  <c r="AY102" i="96"/>
  <c r="AT102" i="96"/>
  <c r="AV102" i="96"/>
  <c r="AW102" i="96"/>
  <c r="AX102" i="96"/>
  <c r="AY101" i="96"/>
  <c r="AT101" i="96"/>
  <c r="AV101" i="96"/>
  <c r="AW101" i="96"/>
  <c r="AX101" i="96"/>
  <c r="AY100" i="96"/>
  <c r="AT100" i="96"/>
  <c r="AV100" i="96"/>
  <c r="AW100" i="96"/>
  <c r="AX100" i="96"/>
  <c r="AY99" i="96"/>
  <c r="AT99" i="96"/>
  <c r="AV99" i="96"/>
  <c r="AW99" i="96"/>
  <c r="AX99" i="96"/>
  <c r="AY98" i="96"/>
  <c r="AT98" i="96"/>
  <c r="AV98" i="96"/>
  <c r="AW98" i="96"/>
  <c r="AX98" i="96"/>
  <c r="AY97" i="96"/>
  <c r="AT97" i="96"/>
  <c r="AV97" i="96"/>
  <c r="AW97" i="96"/>
  <c r="AX97" i="96"/>
  <c r="AY96" i="96"/>
  <c r="AT96" i="96"/>
  <c r="AV96" i="96"/>
  <c r="AW96" i="96"/>
  <c r="AX96" i="96"/>
  <c r="AY95" i="96"/>
  <c r="AT95" i="96"/>
  <c r="AV95" i="96"/>
  <c r="AW95" i="96"/>
  <c r="AX95" i="96"/>
  <c r="AY94" i="96"/>
  <c r="AT94" i="96"/>
  <c r="AV94" i="96"/>
  <c r="AW94" i="96"/>
  <c r="AX94" i="96"/>
  <c r="AY93" i="96"/>
  <c r="AT93" i="96"/>
  <c r="AV93" i="96"/>
  <c r="AW93" i="96"/>
  <c r="AX93" i="96"/>
  <c r="AY92" i="96"/>
  <c r="AT92" i="96"/>
  <c r="AV92" i="96"/>
  <c r="AW92" i="96"/>
  <c r="AX92" i="96"/>
  <c r="AY91" i="96"/>
  <c r="AT91" i="96"/>
  <c r="AV91" i="96"/>
  <c r="AW91" i="96"/>
  <c r="AX91" i="96"/>
  <c r="AY90" i="96"/>
  <c r="AT90" i="96"/>
  <c r="AV90" i="96"/>
  <c r="AW90" i="96"/>
  <c r="AX90" i="96"/>
  <c r="AY89" i="96"/>
  <c r="AT89" i="96"/>
  <c r="AV89" i="96"/>
  <c r="AW89" i="96"/>
  <c r="AX89" i="96"/>
  <c r="AY88" i="96"/>
  <c r="AT88" i="96"/>
  <c r="AV88" i="96"/>
  <c r="AW88" i="96"/>
  <c r="AX88" i="96"/>
  <c r="AY87" i="96"/>
  <c r="AT87" i="96"/>
  <c r="AV87" i="96"/>
  <c r="AW87" i="96"/>
  <c r="AX87" i="96"/>
  <c r="AY86" i="96"/>
  <c r="AT86" i="96"/>
  <c r="AV86" i="96"/>
  <c r="AW86" i="96"/>
  <c r="AX86" i="96"/>
  <c r="AY85" i="96"/>
  <c r="AT85" i="96"/>
  <c r="AV85" i="96"/>
  <c r="AW85" i="96"/>
  <c r="AX85" i="96"/>
  <c r="AY84" i="96"/>
  <c r="AT84" i="96"/>
  <c r="AV84" i="96"/>
  <c r="AW84" i="96"/>
  <c r="AX84" i="96"/>
  <c r="AY83" i="96"/>
  <c r="AT83" i="96"/>
  <c r="AV83" i="96"/>
  <c r="AW83" i="96"/>
  <c r="AX83" i="96"/>
  <c r="AY82" i="96"/>
  <c r="AT82" i="96"/>
  <c r="AV82" i="96"/>
  <c r="AW82" i="96"/>
  <c r="AX82" i="96"/>
  <c r="AY81" i="96"/>
  <c r="AT81" i="96"/>
  <c r="AV81" i="96"/>
  <c r="AW81" i="96"/>
  <c r="AX81" i="96"/>
  <c r="AY80" i="96"/>
  <c r="AT80" i="96"/>
  <c r="AV80" i="96"/>
  <c r="AW80" i="96"/>
  <c r="AX80" i="96"/>
  <c r="AY79" i="96"/>
  <c r="AT79" i="96"/>
  <c r="AV79" i="96"/>
  <c r="AW79" i="96"/>
  <c r="AX79" i="96"/>
  <c r="AY78" i="96"/>
  <c r="AT78" i="96"/>
  <c r="AV78" i="96"/>
  <c r="AW78" i="96"/>
  <c r="AX78" i="96"/>
  <c r="AY77" i="96"/>
  <c r="AT77" i="96"/>
  <c r="AV77" i="96"/>
  <c r="AW77" i="96"/>
  <c r="AX77" i="96"/>
  <c r="AY76" i="96"/>
  <c r="AT76" i="96"/>
  <c r="AV76" i="96"/>
  <c r="AW76" i="96"/>
  <c r="AX76" i="96"/>
  <c r="AY75" i="96"/>
  <c r="AT75" i="96"/>
  <c r="AV75" i="96"/>
  <c r="AW75" i="96"/>
  <c r="AX75" i="96"/>
  <c r="AY74" i="96"/>
  <c r="AT74" i="96"/>
  <c r="AV74" i="96"/>
  <c r="AW74" i="96"/>
  <c r="AX74" i="96"/>
  <c r="AY73" i="96"/>
  <c r="AT73" i="96"/>
  <c r="AV73" i="96"/>
  <c r="AW73" i="96"/>
  <c r="AX73" i="96"/>
  <c r="AY72" i="96"/>
  <c r="AT72" i="96"/>
  <c r="AV72" i="96"/>
  <c r="AW72" i="96"/>
  <c r="AX72" i="96"/>
  <c r="AY71" i="96"/>
  <c r="AT71" i="96"/>
  <c r="AV71" i="96"/>
  <c r="AW71" i="96"/>
  <c r="AX71" i="96"/>
  <c r="AY70" i="96"/>
  <c r="AT70" i="96"/>
  <c r="AV70" i="96"/>
  <c r="AW70" i="96"/>
  <c r="AX70" i="96"/>
  <c r="AY69" i="96"/>
  <c r="AT69" i="96"/>
  <c r="AV69" i="96"/>
  <c r="AW69" i="96"/>
  <c r="AX69" i="96"/>
  <c r="AY68" i="96"/>
  <c r="AT68" i="96"/>
  <c r="AV68" i="96"/>
  <c r="AW68" i="96"/>
  <c r="AX68" i="96"/>
  <c r="AY67" i="96"/>
  <c r="AT67" i="96"/>
  <c r="AV67" i="96"/>
  <c r="AW67" i="96"/>
  <c r="AX67" i="96"/>
  <c r="AY66" i="96"/>
  <c r="AT66" i="96"/>
  <c r="AV66" i="96"/>
  <c r="AW66" i="96"/>
  <c r="AX66" i="96"/>
  <c r="AY65" i="96"/>
  <c r="AT65" i="96"/>
  <c r="AV65" i="96"/>
  <c r="AW65" i="96"/>
  <c r="AX65" i="96"/>
  <c r="AY64" i="96"/>
  <c r="AT64" i="96"/>
  <c r="AV64" i="96"/>
  <c r="AW64" i="96"/>
  <c r="AX64" i="96"/>
  <c r="AY63" i="96"/>
  <c r="AT63" i="96"/>
  <c r="AV63" i="96"/>
  <c r="AW63" i="96"/>
  <c r="AX63" i="96"/>
  <c r="AY62" i="96"/>
  <c r="AT62" i="96"/>
  <c r="AV62" i="96"/>
  <c r="AW62" i="96"/>
  <c r="AX62" i="96"/>
  <c r="AY61" i="96"/>
  <c r="AT61" i="96"/>
  <c r="AV61" i="96"/>
  <c r="AW61" i="96"/>
  <c r="AX61" i="96"/>
  <c r="AY60" i="96"/>
  <c r="AT60" i="96"/>
  <c r="AV60" i="96"/>
  <c r="AW60" i="96"/>
  <c r="AX60" i="96"/>
  <c r="AY59" i="96"/>
  <c r="AT59" i="96"/>
  <c r="AV59" i="96"/>
  <c r="AW59" i="96"/>
  <c r="AX59" i="96"/>
  <c r="AY58" i="96"/>
  <c r="AT58" i="96"/>
  <c r="AV58" i="96"/>
  <c r="AW58" i="96"/>
  <c r="AX58" i="96"/>
  <c r="AY57" i="96"/>
  <c r="AT57" i="96"/>
  <c r="AV57" i="96"/>
  <c r="AW57" i="96"/>
  <c r="AX57" i="96"/>
  <c r="AY56" i="96"/>
  <c r="AT56" i="96"/>
  <c r="AV56" i="96"/>
  <c r="AW56" i="96"/>
  <c r="AX56" i="96"/>
  <c r="AY55" i="96"/>
  <c r="AT55" i="96"/>
  <c r="AV55" i="96"/>
  <c r="AW55" i="96"/>
  <c r="AX55" i="96"/>
  <c r="AY54" i="96"/>
  <c r="AT54" i="96"/>
  <c r="AV54" i="96"/>
  <c r="AW54" i="96"/>
  <c r="AX54" i="96"/>
  <c r="AY53" i="96"/>
  <c r="AT53" i="96"/>
  <c r="AV53" i="96"/>
  <c r="AW53" i="96"/>
  <c r="AX53" i="96"/>
  <c r="AY52" i="96"/>
  <c r="AT52" i="96"/>
  <c r="AV52" i="96"/>
  <c r="AW52" i="96"/>
  <c r="AX52" i="96"/>
  <c r="AY51" i="96"/>
  <c r="AT51" i="96"/>
  <c r="AV51" i="96"/>
  <c r="AW51" i="96"/>
  <c r="AX51" i="96"/>
  <c r="AY50" i="96"/>
  <c r="AT50" i="96"/>
  <c r="AV50" i="96"/>
  <c r="AW50" i="96"/>
  <c r="AX50" i="96"/>
  <c r="AY49" i="96"/>
  <c r="AT49" i="96"/>
  <c r="AV49" i="96"/>
  <c r="AW49" i="96"/>
  <c r="AX49" i="96"/>
  <c r="AY48" i="96"/>
  <c r="AT48" i="96"/>
  <c r="AV48" i="96"/>
  <c r="AW48" i="96"/>
  <c r="AX48" i="96"/>
  <c r="AY47" i="96"/>
  <c r="AT47" i="96"/>
  <c r="AV47" i="96"/>
  <c r="AW47" i="96"/>
  <c r="AX47" i="96"/>
  <c r="AY46" i="96"/>
  <c r="AT46" i="96"/>
  <c r="AV46" i="96"/>
  <c r="AW46" i="96"/>
  <c r="AX46" i="96"/>
  <c r="AY45" i="96"/>
  <c r="AT45" i="96"/>
  <c r="AV45" i="96"/>
  <c r="AW45" i="96"/>
  <c r="AX45" i="96"/>
  <c r="AY44" i="96"/>
  <c r="AT44" i="96"/>
  <c r="AV44" i="96"/>
  <c r="AW44" i="96"/>
  <c r="AX44" i="96"/>
  <c r="AY43" i="96"/>
  <c r="AT43" i="96"/>
  <c r="AV43" i="96"/>
  <c r="AW43" i="96"/>
  <c r="AX43" i="96"/>
  <c r="AY42" i="96"/>
  <c r="AT42" i="96"/>
  <c r="AV42" i="96"/>
  <c r="AW42" i="96"/>
  <c r="AX42" i="96"/>
  <c r="AY41" i="96"/>
  <c r="AT41" i="96"/>
  <c r="AV41" i="96"/>
  <c r="AW41" i="96"/>
  <c r="AX41" i="96"/>
  <c r="AY40" i="96"/>
  <c r="AT40" i="96"/>
  <c r="AV40" i="96"/>
  <c r="AW40" i="96"/>
  <c r="AX40" i="96"/>
  <c r="AY39" i="96"/>
  <c r="AT39" i="96"/>
  <c r="AV39" i="96"/>
  <c r="AW39" i="96"/>
  <c r="AX39" i="96"/>
  <c r="S39" i="96"/>
  <c r="R39" i="96"/>
  <c r="O39" i="96"/>
  <c r="H39" i="96"/>
  <c r="G39" i="96"/>
  <c r="AY38" i="96"/>
  <c r="AT38" i="96"/>
  <c r="AV38" i="96"/>
  <c r="AW38" i="96"/>
  <c r="AX38" i="96"/>
  <c r="AY37" i="96"/>
  <c r="AT37" i="96"/>
  <c r="AV37" i="96"/>
  <c r="AW37" i="96"/>
  <c r="AX37" i="96"/>
  <c r="AY36" i="96"/>
  <c r="AT36" i="96"/>
  <c r="AV36" i="96"/>
  <c r="AW36" i="96"/>
  <c r="AX36" i="96"/>
  <c r="I36" i="96"/>
  <c r="AY35" i="96"/>
  <c r="AT35" i="96"/>
  <c r="AV35" i="96"/>
  <c r="AW35" i="96"/>
  <c r="AX35" i="96"/>
  <c r="W35" i="96"/>
  <c r="R5" i="96"/>
  <c r="S5" i="96"/>
  <c r="T5" i="96"/>
  <c r="AB8" i="96"/>
  <c r="AB16" i="96"/>
  <c r="T11" i="96"/>
  <c r="V11" i="96"/>
  <c r="I35" i="96"/>
  <c r="AY34" i="96"/>
  <c r="AT34" i="96"/>
  <c r="AV34" i="96"/>
  <c r="AW34" i="96"/>
  <c r="AX34" i="96"/>
  <c r="AB7" i="96"/>
  <c r="AB15" i="96"/>
  <c r="V5" i="96"/>
  <c r="S10" i="96"/>
  <c r="T10" i="96"/>
  <c r="V10" i="96"/>
  <c r="I34" i="96"/>
  <c r="AY33" i="96"/>
  <c r="AT33" i="96"/>
  <c r="AV33" i="96"/>
  <c r="AW33" i="96"/>
  <c r="AX33" i="96"/>
  <c r="S28" i="96"/>
  <c r="S25" i="96"/>
  <c r="S33" i="96"/>
  <c r="W33" i="96"/>
  <c r="AB6" i="96"/>
  <c r="AB14" i="96"/>
  <c r="S9" i="96"/>
  <c r="T9" i="96"/>
  <c r="V9" i="96"/>
  <c r="I33" i="96"/>
  <c r="AY32" i="96"/>
  <c r="AT32" i="96"/>
  <c r="AV32" i="96"/>
  <c r="AW32" i="96"/>
  <c r="AX32" i="96"/>
  <c r="S27" i="96"/>
  <c r="S32" i="96"/>
  <c r="W32" i="96"/>
  <c r="AY31" i="96"/>
  <c r="AT31" i="96"/>
  <c r="AV31" i="96"/>
  <c r="AW31" i="96"/>
  <c r="AX31" i="96"/>
  <c r="S26" i="96"/>
  <c r="S31" i="96"/>
  <c r="W31" i="96"/>
  <c r="AY30" i="96"/>
  <c r="AT30" i="96"/>
  <c r="AV30" i="96"/>
  <c r="AW30" i="96"/>
  <c r="AX30" i="96"/>
  <c r="I24" i="96"/>
  <c r="G30" i="96"/>
  <c r="AY29" i="96"/>
  <c r="AT29" i="96"/>
  <c r="AV29" i="96"/>
  <c r="AW29" i="96"/>
  <c r="AX29" i="96"/>
  <c r="S29" i="96"/>
  <c r="W29" i="96"/>
  <c r="I23" i="96"/>
  <c r="G29" i="96"/>
  <c r="AY28" i="96"/>
  <c r="AT28" i="96"/>
  <c r="AV28" i="96"/>
  <c r="AW28" i="96"/>
  <c r="AX28" i="96"/>
  <c r="W28" i="96"/>
  <c r="AY27" i="96"/>
  <c r="AT27" i="96"/>
  <c r="AV27" i="96"/>
  <c r="AW27" i="96"/>
  <c r="AX27" i="96"/>
  <c r="W27" i="96"/>
  <c r="I27" i="96"/>
  <c r="AY26" i="96"/>
  <c r="AT26" i="96"/>
  <c r="AV26" i="96"/>
  <c r="AW26" i="96"/>
  <c r="AX26" i="96"/>
  <c r="W26" i="96"/>
  <c r="AY25" i="96"/>
  <c r="AT25" i="96"/>
  <c r="AV25" i="96"/>
  <c r="AW25" i="96"/>
  <c r="AX25" i="96"/>
  <c r="W21" i="96"/>
  <c r="V21" i="96"/>
  <c r="T21" i="96"/>
  <c r="S21" i="96"/>
  <c r="W20" i="96"/>
  <c r="V20" i="96"/>
  <c r="T20" i="96"/>
  <c r="S20" i="96"/>
  <c r="W18" i="96"/>
  <c r="V18" i="96"/>
  <c r="T18" i="96"/>
  <c r="S18" i="96"/>
  <c r="W17" i="96"/>
  <c r="V17" i="96"/>
  <c r="T17" i="96"/>
  <c r="S17" i="96"/>
  <c r="U11" i="96"/>
  <c r="AE7" i="96"/>
  <c r="AE8" i="96"/>
  <c r="AE6" i="96"/>
  <c r="BB5" i="96"/>
  <c r="BB13" i="5"/>
  <c r="BB14" i="5"/>
  <c r="BA6" i="5"/>
  <c r="BA7" i="5"/>
  <c r="BA8" i="5"/>
  <c r="BA9" i="5"/>
  <c r="BA10" i="5"/>
  <c r="BA11" i="5"/>
  <c r="BA12" i="5"/>
  <c r="BA13" i="5"/>
  <c r="BA14" i="5"/>
  <c r="AB8" i="87"/>
  <c r="AZ6" i="5"/>
  <c r="AB8" i="88"/>
  <c r="AZ7" i="5"/>
  <c r="AB8" i="91"/>
  <c r="AZ8" i="5"/>
  <c r="AB8" i="89"/>
  <c r="AZ9" i="5"/>
  <c r="AB8" i="90"/>
  <c r="AZ10" i="5"/>
  <c r="AB8" i="92"/>
  <c r="AZ11" i="5"/>
  <c r="AB8" i="94"/>
  <c r="AZ12" i="5"/>
  <c r="AB8" i="95"/>
  <c r="AZ13" i="5"/>
  <c r="AB8" i="93"/>
  <c r="AZ14" i="5"/>
  <c r="AY6" i="5"/>
  <c r="AY7" i="5"/>
  <c r="AY8" i="5"/>
  <c r="AY9" i="5"/>
  <c r="AY10" i="5"/>
  <c r="AY11" i="5"/>
  <c r="AY12" i="5"/>
  <c r="AY13" i="5"/>
  <c r="AY14" i="5"/>
  <c r="AB6" i="87"/>
  <c r="AX6" i="5"/>
  <c r="AB6" i="88"/>
  <c r="AX7" i="5"/>
  <c r="AB6" i="91"/>
  <c r="AX8" i="5"/>
  <c r="AB6" i="89"/>
  <c r="AX9" i="5"/>
  <c r="AB6" i="90"/>
  <c r="AX10" i="5"/>
  <c r="AB6" i="92"/>
  <c r="AX11" i="5"/>
  <c r="AB6" i="94"/>
  <c r="AX12" i="5"/>
  <c r="AB6" i="95"/>
  <c r="AX13" i="5"/>
  <c r="AB6" i="93"/>
  <c r="AX14" i="5"/>
  <c r="BA5" i="5"/>
  <c r="BA17" i="5"/>
  <c r="AY5" i="5"/>
  <c r="AY17" i="5"/>
  <c r="AB8" i="86"/>
  <c r="AZ5" i="5"/>
  <c r="AZ17" i="5"/>
  <c r="AB6" i="86"/>
  <c r="AX5" i="5"/>
  <c r="AX17" i="5"/>
  <c r="AB14" i="86"/>
  <c r="S9" i="86"/>
  <c r="T9" i="86"/>
  <c r="S26" i="86"/>
  <c r="S25" i="86"/>
  <c r="S31" i="86"/>
  <c r="Q5" i="5"/>
  <c r="AB14" i="87"/>
  <c r="S9" i="87"/>
  <c r="T9" i="87"/>
  <c r="S26" i="87"/>
  <c r="S25" i="87"/>
  <c r="S31" i="87"/>
  <c r="Q6" i="5"/>
  <c r="AB14" i="88"/>
  <c r="S9" i="88"/>
  <c r="T9" i="88"/>
  <c r="S26" i="88"/>
  <c r="S25" i="88"/>
  <c r="S31" i="88"/>
  <c r="Q7" i="5"/>
  <c r="AB14" i="91"/>
  <c r="S9" i="91"/>
  <c r="T9" i="91"/>
  <c r="S26" i="91"/>
  <c r="S25" i="91"/>
  <c r="S31" i="91"/>
  <c r="Q8" i="5"/>
  <c r="AB14" i="89"/>
  <c r="S9" i="89"/>
  <c r="T9" i="89"/>
  <c r="S26" i="89"/>
  <c r="S25" i="89"/>
  <c r="S31" i="89"/>
  <c r="Q9" i="5"/>
  <c r="AB14" i="90"/>
  <c r="S9" i="90"/>
  <c r="T9" i="90"/>
  <c r="S26" i="90"/>
  <c r="S25" i="90"/>
  <c r="S31" i="90"/>
  <c r="Q10" i="5"/>
  <c r="S25" i="92"/>
  <c r="AB14" i="92"/>
  <c r="S9" i="92"/>
  <c r="T9" i="92"/>
  <c r="S26" i="92"/>
  <c r="S31" i="92"/>
  <c r="Q11" i="5"/>
  <c r="AB14" i="94"/>
  <c r="S9" i="94"/>
  <c r="T9" i="94"/>
  <c r="S26" i="94"/>
  <c r="S25" i="94"/>
  <c r="S31" i="94"/>
  <c r="Q12" i="5"/>
  <c r="AB14" i="95"/>
  <c r="S9" i="95"/>
  <c r="T9" i="95"/>
  <c r="S26" i="95"/>
  <c r="S25" i="95"/>
  <c r="S31" i="95"/>
  <c r="Q13" i="5"/>
  <c r="AB14" i="93"/>
  <c r="S9" i="93"/>
  <c r="T9" i="93"/>
  <c r="S26" i="93"/>
  <c r="S25" i="93"/>
  <c r="S31" i="93"/>
  <c r="Q14" i="5"/>
  <c r="Q17" i="5"/>
  <c r="S27" i="86"/>
  <c r="S32" i="86"/>
  <c r="R5" i="5"/>
  <c r="S27" i="87"/>
  <c r="S32" i="87"/>
  <c r="R6" i="5"/>
  <c r="S27" i="88"/>
  <c r="S32" i="88"/>
  <c r="R7" i="5"/>
  <c r="S27" i="91"/>
  <c r="S32" i="91"/>
  <c r="R8" i="5"/>
  <c r="S27" i="89"/>
  <c r="S32" i="89"/>
  <c r="R9" i="5"/>
  <c r="S27" i="90"/>
  <c r="S32" i="90"/>
  <c r="R10" i="5"/>
  <c r="S27" i="92"/>
  <c r="S32" i="92"/>
  <c r="R11" i="5"/>
  <c r="S27" i="94"/>
  <c r="S32" i="94"/>
  <c r="R12" i="5"/>
  <c r="S27" i="95"/>
  <c r="S32" i="95"/>
  <c r="R13" i="5"/>
  <c r="S27" i="93"/>
  <c r="S32" i="93"/>
  <c r="R14" i="5"/>
  <c r="R17" i="5"/>
  <c r="S28" i="86"/>
  <c r="S33" i="86"/>
  <c r="S5" i="5"/>
  <c r="S33" i="87"/>
  <c r="S6" i="5"/>
  <c r="S28" i="88"/>
  <c r="S33" i="88"/>
  <c r="S7" i="5"/>
  <c r="S28" i="91"/>
  <c r="S33" i="91"/>
  <c r="S8" i="5"/>
  <c r="S28" i="89"/>
  <c r="S33" i="89"/>
  <c r="S9" i="5"/>
  <c r="S28" i="90"/>
  <c r="S33" i="90"/>
  <c r="S10" i="5"/>
  <c r="S28" i="92"/>
  <c r="S33" i="92"/>
  <c r="S11" i="5"/>
  <c r="S28" i="94"/>
  <c r="S33" i="94"/>
  <c r="S12" i="5"/>
  <c r="S28" i="95"/>
  <c r="S33" i="95"/>
  <c r="S13" i="5"/>
  <c r="S28" i="93"/>
  <c r="S33" i="93"/>
  <c r="S14" i="5"/>
  <c r="S17" i="5"/>
  <c r="P5" i="5"/>
  <c r="P6" i="5"/>
  <c r="P7" i="5"/>
  <c r="P8" i="5"/>
  <c r="P9" i="5"/>
  <c r="P10" i="5"/>
  <c r="P11" i="5"/>
  <c r="P12" i="5"/>
  <c r="P13" i="5"/>
  <c r="P14" i="5"/>
  <c r="P17" i="5"/>
  <c r="I36" i="86"/>
  <c r="L5" i="5"/>
  <c r="I36" i="87"/>
  <c r="L6" i="5"/>
  <c r="I36" i="88"/>
  <c r="L7" i="5"/>
  <c r="I36" i="91"/>
  <c r="L8" i="5"/>
  <c r="I36" i="89"/>
  <c r="L9" i="5"/>
  <c r="I36" i="90"/>
  <c r="L10" i="5"/>
  <c r="I36" i="92"/>
  <c r="L11" i="5"/>
  <c r="I36" i="94"/>
  <c r="L12" i="5"/>
  <c r="I36" i="95"/>
  <c r="L13" i="5"/>
  <c r="I36" i="93"/>
  <c r="L14" i="5"/>
  <c r="L17" i="5"/>
  <c r="L18" i="5"/>
  <c r="E6" i="5"/>
  <c r="E7" i="5"/>
  <c r="E8" i="5"/>
  <c r="E9" i="5"/>
  <c r="E10" i="5"/>
  <c r="E11" i="5"/>
  <c r="E12" i="5"/>
  <c r="E13" i="5"/>
  <c r="E14" i="5"/>
  <c r="AV18" i="5"/>
  <c r="AB16" i="86"/>
  <c r="T11" i="86"/>
  <c r="W20" i="86"/>
  <c r="O5" i="5"/>
  <c r="AB16" i="87"/>
  <c r="T11" i="87"/>
  <c r="W20" i="87"/>
  <c r="O6" i="5"/>
  <c r="AB16" i="88"/>
  <c r="T11" i="88"/>
  <c r="W20" i="88"/>
  <c r="O7" i="5"/>
  <c r="AB16" i="91"/>
  <c r="T11" i="91"/>
  <c r="W20" i="91"/>
  <c r="O8" i="5"/>
  <c r="AB16" i="89"/>
  <c r="T11" i="89"/>
  <c r="W20" i="89"/>
  <c r="O9" i="5"/>
  <c r="AB16" i="90"/>
  <c r="T11" i="90"/>
  <c r="W20" i="90"/>
  <c r="O10" i="5"/>
  <c r="AB16" i="92"/>
  <c r="T11" i="92"/>
  <c r="W20" i="92"/>
  <c r="O11" i="5"/>
  <c r="AB16" i="94"/>
  <c r="T11" i="94"/>
  <c r="W20" i="94"/>
  <c r="O12" i="5"/>
  <c r="AB16" i="95"/>
  <c r="T11" i="95"/>
  <c r="W20" i="95"/>
  <c r="O13" i="5"/>
  <c r="AB16" i="93"/>
  <c r="T11" i="93"/>
  <c r="W20" i="93"/>
  <c r="O14" i="5"/>
  <c r="O17" i="5"/>
  <c r="W18" i="86"/>
  <c r="N5" i="5"/>
  <c r="W18" i="87"/>
  <c r="N6" i="5"/>
  <c r="W18" i="88"/>
  <c r="N7" i="5"/>
  <c r="W18" i="91"/>
  <c r="N8" i="5"/>
  <c r="W18" i="89"/>
  <c r="N9" i="5"/>
  <c r="W18" i="90"/>
  <c r="N10" i="5"/>
  <c r="W18" i="92"/>
  <c r="N11" i="5"/>
  <c r="W18" i="94"/>
  <c r="N12" i="5"/>
  <c r="W18" i="95"/>
  <c r="N13" i="5"/>
  <c r="W18" i="93"/>
  <c r="N14" i="5"/>
  <c r="N17" i="5"/>
  <c r="W17" i="86"/>
  <c r="M5" i="5"/>
  <c r="W17" i="87"/>
  <c r="M6" i="5"/>
  <c r="W17" i="88"/>
  <c r="M7" i="5"/>
  <c r="W17" i="91"/>
  <c r="M8" i="5"/>
  <c r="W17" i="89"/>
  <c r="M9" i="5"/>
  <c r="W17" i="90"/>
  <c r="M10" i="5"/>
  <c r="W17" i="92"/>
  <c r="M11" i="5"/>
  <c r="W17" i="94"/>
  <c r="M12" i="5"/>
  <c r="W17" i="95"/>
  <c r="M13" i="5"/>
  <c r="W17" i="93"/>
  <c r="M14" i="5"/>
  <c r="M17" i="5"/>
  <c r="V11" i="86"/>
  <c r="I35" i="86"/>
  <c r="K5" i="5"/>
  <c r="V11" i="87"/>
  <c r="I35" i="87"/>
  <c r="K6" i="5"/>
  <c r="V11" i="88"/>
  <c r="I35" i="88"/>
  <c r="K7" i="5"/>
  <c r="V11" i="91"/>
  <c r="I35" i="91"/>
  <c r="K8" i="5"/>
  <c r="V11" i="89"/>
  <c r="I35" i="89"/>
  <c r="K9" i="5"/>
  <c r="V11" i="90"/>
  <c r="I35" i="90"/>
  <c r="K10" i="5"/>
  <c r="V11" i="92"/>
  <c r="I35" i="92"/>
  <c r="K11" i="5"/>
  <c r="V11" i="94"/>
  <c r="I35" i="94"/>
  <c r="K12" i="5"/>
  <c r="V11" i="95"/>
  <c r="I35" i="95"/>
  <c r="K13" i="5"/>
  <c r="V11" i="93"/>
  <c r="I35" i="93"/>
  <c r="K14" i="5"/>
  <c r="K17" i="5"/>
  <c r="V9" i="86"/>
  <c r="I33" i="86"/>
  <c r="I5" i="5"/>
  <c r="V9" i="87"/>
  <c r="I33" i="87"/>
  <c r="I6" i="5"/>
  <c r="V9" i="88"/>
  <c r="I33" i="88"/>
  <c r="I7" i="5"/>
  <c r="V9" i="91"/>
  <c r="I33" i="91"/>
  <c r="I8" i="5"/>
  <c r="V9" i="89"/>
  <c r="I33" i="89"/>
  <c r="I9" i="5"/>
  <c r="V9" i="90"/>
  <c r="I33" i="90"/>
  <c r="I10" i="5"/>
  <c r="V9" i="92"/>
  <c r="I33" i="92"/>
  <c r="I11" i="5"/>
  <c r="V9" i="94"/>
  <c r="I33" i="94"/>
  <c r="I12" i="5"/>
  <c r="V9" i="95"/>
  <c r="I33" i="95"/>
  <c r="I13" i="5"/>
  <c r="V9" i="93"/>
  <c r="I33" i="93"/>
  <c r="I14" i="5"/>
  <c r="I17" i="5"/>
  <c r="H5" i="5"/>
  <c r="H6" i="5"/>
  <c r="H7" i="5"/>
  <c r="H8" i="5"/>
  <c r="H9" i="5"/>
  <c r="H10" i="5"/>
  <c r="H11" i="5"/>
  <c r="H12" i="5"/>
  <c r="H13" i="5"/>
  <c r="H14" i="5"/>
  <c r="H17" i="5"/>
  <c r="I27" i="86"/>
  <c r="G5" i="5"/>
  <c r="I27" i="87"/>
  <c r="G6" i="5"/>
  <c r="I27" i="88"/>
  <c r="G7" i="5"/>
  <c r="I27" i="91"/>
  <c r="G8" i="5"/>
  <c r="I27" i="89"/>
  <c r="G9" i="5"/>
  <c r="I27" i="90"/>
  <c r="G10" i="5"/>
  <c r="I27" i="92"/>
  <c r="G11" i="5"/>
  <c r="I27" i="94"/>
  <c r="G12" i="5"/>
  <c r="I27" i="95"/>
  <c r="G13" i="5"/>
  <c r="I27" i="93"/>
  <c r="G14" i="5"/>
  <c r="G17" i="5"/>
  <c r="I24" i="86"/>
  <c r="D5" i="5"/>
  <c r="I24" i="87"/>
  <c r="D6" i="5"/>
  <c r="I24" i="88"/>
  <c r="D7" i="5"/>
  <c r="I24" i="91"/>
  <c r="D8" i="5"/>
  <c r="I24" i="89"/>
  <c r="D9" i="5"/>
  <c r="I24" i="90"/>
  <c r="D10" i="5"/>
  <c r="I24" i="92"/>
  <c r="D11" i="5"/>
  <c r="I24" i="94"/>
  <c r="D12" i="5"/>
  <c r="I24" i="95"/>
  <c r="D13" i="5"/>
  <c r="I24" i="93"/>
  <c r="D14" i="5"/>
  <c r="D17" i="5"/>
  <c r="E5" i="5"/>
  <c r="I23" i="87"/>
  <c r="E17" i="5"/>
  <c r="F5" i="5"/>
  <c r="F6" i="5"/>
  <c r="F7" i="5"/>
  <c r="F8" i="5"/>
  <c r="F9" i="5"/>
  <c r="F10" i="5"/>
  <c r="F11" i="5"/>
  <c r="F12" i="5"/>
  <c r="F13" i="5"/>
  <c r="F14" i="5"/>
  <c r="F17" i="5"/>
  <c r="I23" i="86"/>
  <c r="C5" i="5"/>
  <c r="C6" i="5"/>
  <c r="I23" i="88"/>
  <c r="C7" i="5"/>
  <c r="I23" i="91"/>
  <c r="C8" i="5"/>
  <c r="I23" i="89"/>
  <c r="C9" i="5"/>
  <c r="I23" i="90"/>
  <c r="C10" i="5"/>
  <c r="I23" i="92"/>
  <c r="C11" i="5"/>
  <c r="I23" i="94"/>
  <c r="C12" i="5"/>
  <c r="I23" i="95"/>
  <c r="C13" i="5"/>
  <c r="I23" i="93"/>
  <c r="C14" i="5"/>
  <c r="C17" i="5"/>
  <c r="AY111" i="95"/>
  <c r="AT111" i="95"/>
  <c r="AV111" i="95"/>
  <c r="AW111" i="95"/>
  <c r="AX111" i="95"/>
  <c r="AY110" i="95"/>
  <c r="AT110" i="95"/>
  <c r="AV110" i="95"/>
  <c r="AW110" i="95"/>
  <c r="AX110" i="95"/>
  <c r="AY109" i="95"/>
  <c r="AT109" i="95"/>
  <c r="AV109" i="95"/>
  <c r="AW109" i="95"/>
  <c r="AX109" i="95"/>
  <c r="AY108" i="95"/>
  <c r="AT108" i="95"/>
  <c r="AV108" i="95"/>
  <c r="AW108" i="95"/>
  <c r="AX108" i="95"/>
  <c r="AY107" i="95"/>
  <c r="AT107" i="95"/>
  <c r="AV107" i="95"/>
  <c r="AW107" i="95"/>
  <c r="AX107" i="95"/>
  <c r="AY106" i="95"/>
  <c r="AT106" i="95"/>
  <c r="AV106" i="95"/>
  <c r="AW106" i="95"/>
  <c r="AX106" i="95"/>
  <c r="AY105" i="95"/>
  <c r="AT105" i="95"/>
  <c r="AV105" i="95"/>
  <c r="AW105" i="95"/>
  <c r="AX105" i="95"/>
  <c r="AY104" i="95"/>
  <c r="AT104" i="95"/>
  <c r="AV104" i="95"/>
  <c r="AW104" i="95"/>
  <c r="AX104" i="95"/>
  <c r="AY103" i="95"/>
  <c r="AT103" i="95"/>
  <c r="AV103" i="95"/>
  <c r="AW103" i="95"/>
  <c r="AX103" i="95"/>
  <c r="AY102" i="95"/>
  <c r="AT102" i="95"/>
  <c r="AV102" i="95"/>
  <c r="AW102" i="95"/>
  <c r="AX102" i="95"/>
  <c r="AY101" i="95"/>
  <c r="AT101" i="95"/>
  <c r="AV101" i="95"/>
  <c r="AW101" i="95"/>
  <c r="AX101" i="95"/>
  <c r="AY100" i="95"/>
  <c r="AT100" i="95"/>
  <c r="AV100" i="95"/>
  <c r="AW100" i="95"/>
  <c r="AX100" i="95"/>
  <c r="AY99" i="95"/>
  <c r="AT99" i="95"/>
  <c r="AV99" i="95"/>
  <c r="AW99" i="95"/>
  <c r="AX99" i="95"/>
  <c r="AY98" i="95"/>
  <c r="AT98" i="95"/>
  <c r="AV98" i="95"/>
  <c r="AW98" i="95"/>
  <c r="AX98" i="95"/>
  <c r="AY97" i="95"/>
  <c r="AT97" i="95"/>
  <c r="AV97" i="95"/>
  <c r="AW97" i="95"/>
  <c r="AX97" i="95"/>
  <c r="AY96" i="95"/>
  <c r="AT96" i="95"/>
  <c r="AV96" i="95"/>
  <c r="AW96" i="95"/>
  <c r="AX96" i="95"/>
  <c r="AY95" i="95"/>
  <c r="AT95" i="95"/>
  <c r="AV95" i="95"/>
  <c r="AW95" i="95"/>
  <c r="AX95" i="95"/>
  <c r="AY94" i="95"/>
  <c r="AT94" i="95"/>
  <c r="AV94" i="95"/>
  <c r="AW94" i="95"/>
  <c r="AX94" i="95"/>
  <c r="AY93" i="95"/>
  <c r="AT93" i="95"/>
  <c r="AV93" i="95"/>
  <c r="AW93" i="95"/>
  <c r="AX93" i="95"/>
  <c r="AY92" i="95"/>
  <c r="AT92" i="95"/>
  <c r="AV92" i="95"/>
  <c r="AW92" i="95"/>
  <c r="AX92" i="95"/>
  <c r="AY91" i="95"/>
  <c r="AT91" i="95"/>
  <c r="AV91" i="95"/>
  <c r="AW91" i="95"/>
  <c r="AX91" i="95"/>
  <c r="AY90" i="95"/>
  <c r="AT90" i="95"/>
  <c r="AV90" i="95"/>
  <c r="AW90" i="95"/>
  <c r="AX90" i="95"/>
  <c r="AY89" i="95"/>
  <c r="AT89" i="95"/>
  <c r="AV89" i="95"/>
  <c r="AW89" i="95"/>
  <c r="AX89" i="95"/>
  <c r="AY88" i="95"/>
  <c r="AT88" i="95"/>
  <c r="AV88" i="95"/>
  <c r="AW88" i="95"/>
  <c r="AX88" i="95"/>
  <c r="AY87" i="95"/>
  <c r="AT87" i="95"/>
  <c r="AV87" i="95"/>
  <c r="AW87" i="95"/>
  <c r="AX87" i="95"/>
  <c r="AY86" i="95"/>
  <c r="AT86" i="95"/>
  <c r="AV86" i="95"/>
  <c r="AW86" i="95"/>
  <c r="AX86" i="95"/>
  <c r="AY85" i="95"/>
  <c r="AT85" i="95"/>
  <c r="AV85" i="95"/>
  <c r="AW85" i="95"/>
  <c r="AX85" i="95"/>
  <c r="AY84" i="95"/>
  <c r="AT84" i="95"/>
  <c r="AV84" i="95"/>
  <c r="AW84" i="95"/>
  <c r="AX84" i="95"/>
  <c r="AY83" i="95"/>
  <c r="AT83" i="95"/>
  <c r="AV83" i="95"/>
  <c r="AW83" i="95"/>
  <c r="AX83" i="95"/>
  <c r="AY82" i="95"/>
  <c r="AT82" i="95"/>
  <c r="AV82" i="95"/>
  <c r="AW82" i="95"/>
  <c r="AX82" i="95"/>
  <c r="AY81" i="95"/>
  <c r="AT81" i="95"/>
  <c r="AV81" i="95"/>
  <c r="AW81" i="95"/>
  <c r="AX81" i="95"/>
  <c r="AY80" i="95"/>
  <c r="AT80" i="95"/>
  <c r="AV80" i="95"/>
  <c r="AW80" i="95"/>
  <c r="AX80" i="95"/>
  <c r="AY79" i="95"/>
  <c r="AT79" i="95"/>
  <c r="AV79" i="95"/>
  <c r="AW79" i="95"/>
  <c r="AX79" i="95"/>
  <c r="AY78" i="95"/>
  <c r="AT78" i="95"/>
  <c r="AV78" i="95"/>
  <c r="AW78" i="95"/>
  <c r="AX78" i="95"/>
  <c r="AY77" i="95"/>
  <c r="AT77" i="95"/>
  <c r="AV77" i="95"/>
  <c r="AW77" i="95"/>
  <c r="AX77" i="95"/>
  <c r="AY76" i="95"/>
  <c r="AT76" i="95"/>
  <c r="AV76" i="95"/>
  <c r="AW76" i="95"/>
  <c r="AX76" i="95"/>
  <c r="AY75" i="95"/>
  <c r="AT75" i="95"/>
  <c r="AV75" i="95"/>
  <c r="AW75" i="95"/>
  <c r="AX75" i="95"/>
  <c r="AY74" i="95"/>
  <c r="AT74" i="95"/>
  <c r="AV74" i="95"/>
  <c r="AW74" i="95"/>
  <c r="AX74" i="95"/>
  <c r="AY73" i="95"/>
  <c r="AT73" i="95"/>
  <c r="AV73" i="95"/>
  <c r="AW73" i="95"/>
  <c r="AX73" i="95"/>
  <c r="AY72" i="95"/>
  <c r="AT72" i="95"/>
  <c r="AV72" i="95"/>
  <c r="AW72" i="95"/>
  <c r="AX72" i="95"/>
  <c r="AY71" i="95"/>
  <c r="AT71" i="95"/>
  <c r="AV71" i="95"/>
  <c r="AW71" i="95"/>
  <c r="AX71" i="95"/>
  <c r="AY70" i="95"/>
  <c r="AT70" i="95"/>
  <c r="AV70" i="95"/>
  <c r="AW70" i="95"/>
  <c r="AX70" i="95"/>
  <c r="AY69" i="95"/>
  <c r="AT69" i="95"/>
  <c r="AV69" i="95"/>
  <c r="AW69" i="95"/>
  <c r="AX69" i="95"/>
  <c r="AY68" i="95"/>
  <c r="AT68" i="95"/>
  <c r="AV68" i="95"/>
  <c r="AW68" i="95"/>
  <c r="AX68" i="95"/>
  <c r="AY67" i="95"/>
  <c r="AT67" i="95"/>
  <c r="AV67" i="95"/>
  <c r="AW67" i="95"/>
  <c r="AX67" i="95"/>
  <c r="AY66" i="95"/>
  <c r="AT66" i="95"/>
  <c r="AV66" i="95"/>
  <c r="AW66" i="95"/>
  <c r="AX66" i="95"/>
  <c r="AY65" i="95"/>
  <c r="AT65" i="95"/>
  <c r="AV65" i="95"/>
  <c r="AW65" i="95"/>
  <c r="AX65" i="95"/>
  <c r="AY64" i="95"/>
  <c r="AT64" i="95"/>
  <c r="AV64" i="95"/>
  <c r="AW64" i="95"/>
  <c r="AX64" i="95"/>
  <c r="AY63" i="95"/>
  <c r="AT63" i="95"/>
  <c r="AV63" i="95"/>
  <c r="AW63" i="95"/>
  <c r="AX63" i="95"/>
  <c r="AY62" i="95"/>
  <c r="AT62" i="95"/>
  <c r="AV62" i="95"/>
  <c r="AW62" i="95"/>
  <c r="AX62" i="95"/>
  <c r="AY61" i="95"/>
  <c r="AT61" i="95"/>
  <c r="AV61" i="95"/>
  <c r="AW61" i="95"/>
  <c r="AX61" i="95"/>
  <c r="AY60" i="95"/>
  <c r="AT60" i="95"/>
  <c r="AV60" i="95"/>
  <c r="AW60" i="95"/>
  <c r="AX60" i="95"/>
  <c r="AY59" i="95"/>
  <c r="AT59" i="95"/>
  <c r="AV59" i="95"/>
  <c r="AW59" i="95"/>
  <c r="AX59" i="95"/>
  <c r="AY58" i="95"/>
  <c r="AT58" i="95"/>
  <c r="AV58" i="95"/>
  <c r="AW58" i="95"/>
  <c r="AX58" i="95"/>
  <c r="AY57" i="95"/>
  <c r="AT57" i="95"/>
  <c r="AV57" i="95"/>
  <c r="AW57" i="95"/>
  <c r="AX57" i="95"/>
  <c r="AY56" i="95"/>
  <c r="AT56" i="95"/>
  <c r="AV56" i="95"/>
  <c r="AW56" i="95"/>
  <c r="AX56" i="95"/>
  <c r="AY55" i="95"/>
  <c r="AT55" i="95"/>
  <c r="AV55" i="95"/>
  <c r="AW55" i="95"/>
  <c r="AX55" i="95"/>
  <c r="AY54" i="95"/>
  <c r="AT54" i="95"/>
  <c r="AV54" i="95"/>
  <c r="AW54" i="95"/>
  <c r="AX54" i="95"/>
  <c r="AY53" i="95"/>
  <c r="AT53" i="95"/>
  <c r="AV53" i="95"/>
  <c r="AW53" i="95"/>
  <c r="AX53" i="95"/>
  <c r="AY52" i="95"/>
  <c r="AT52" i="95"/>
  <c r="AV52" i="95"/>
  <c r="AW52" i="95"/>
  <c r="AX52" i="95"/>
  <c r="AY51" i="95"/>
  <c r="AT51" i="95"/>
  <c r="AV51" i="95"/>
  <c r="AW51" i="95"/>
  <c r="AX51" i="95"/>
  <c r="AY50" i="95"/>
  <c r="AT50" i="95"/>
  <c r="AV50" i="95"/>
  <c r="AW50" i="95"/>
  <c r="AX50" i="95"/>
  <c r="AY49" i="95"/>
  <c r="AT49" i="95"/>
  <c r="AV49" i="95"/>
  <c r="AW49" i="95"/>
  <c r="AX49" i="95"/>
  <c r="AY48" i="95"/>
  <c r="AT48" i="95"/>
  <c r="AV48" i="95"/>
  <c r="AW48" i="95"/>
  <c r="AX48" i="95"/>
  <c r="AY47" i="95"/>
  <c r="AT47" i="95"/>
  <c r="AV47" i="95"/>
  <c r="AW47" i="95"/>
  <c r="AX47" i="95"/>
  <c r="AY46" i="95"/>
  <c r="AT46" i="95"/>
  <c r="AV46" i="95"/>
  <c r="AW46" i="95"/>
  <c r="AX46" i="95"/>
  <c r="AY45" i="95"/>
  <c r="AT45" i="95"/>
  <c r="AV45" i="95"/>
  <c r="AW45" i="95"/>
  <c r="AX45" i="95"/>
  <c r="AY44" i="95"/>
  <c r="AT44" i="95"/>
  <c r="AV44" i="95"/>
  <c r="AW44" i="95"/>
  <c r="AX44" i="95"/>
  <c r="AY43" i="95"/>
  <c r="AT43" i="95"/>
  <c r="AV43" i="95"/>
  <c r="AW43" i="95"/>
  <c r="AX43" i="95"/>
  <c r="AY42" i="95"/>
  <c r="AT42" i="95"/>
  <c r="AV42" i="95"/>
  <c r="AW42" i="95"/>
  <c r="AX42" i="95"/>
  <c r="AY41" i="95"/>
  <c r="AT41" i="95"/>
  <c r="AV41" i="95"/>
  <c r="AW41" i="95"/>
  <c r="AX41" i="95"/>
  <c r="AY40" i="95"/>
  <c r="AT40" i="95"/>
  <c r="AV40" i="95"/>
  <c r="AW40" i="95"/>
  <c r="AX40" i="95"/>
  <c r="AY39" i="95"/>
  <c r="AT39" i="95"/>
  <c r="AV39" i="95"/>
  <c r="AW39" i="95"/>
  <c r="AX39" i="95"/>
  <c r="AY38" i="95"/>
  <c r="AT38" i="95"/>
  <c r="AV38" i="95"/>
  <c r="AW38" i="95"/>
  <c r="AX38" i="95"/>
  <c r="AY37" i="95"/>
  <c r="AT37" i="95"/>
  <c r="AV37" i="95"/>
  <c r="AW37" i="95"/>
  <c r="AX37" i="95"/>
  <c r="AY36" i="95"/>
  <c r="AT36" i="95"/>
  <c r="AV36" i="95"/>
  <c r="AW36" i="95"/>
  <c r="AX36" i="95"/>
  <c r="AY35" i="95"/>
  <c r="AT35" i="95"/>
  <c r="AV35" i="95"/>
  <c r="AW35" i="95"/>
  <c r="AX35" i="95"/>
  <c r="W35" i="95"/>
  <c r="AY34" i="95"/>
  <c r="AT34" i="95"/>
  <c r="AV34" i="95"/>
  <c r="AW34" i="95"/>
  <c r="AX34" i="95"/>
  <c r="AY33" i="95"/>
  <c r="AT33" i="95"/>
  <c r="AV33" i="95"/>
  <c r="AW33" i="95"/>
  <c r="AX33" i="95"/>
  <c r="W33" i="95"/>
  <c r="AY32" i="95"/>
  <c r="AT32" i="95"/>
  <c r="AV32" i="95"/>
  <c r="AW32" i="95"/>
  <c r="AX32" i="95"/>
  <c r="W32" i="95"/>
  <c r="AY31" i="95"/>
  <c r="AT31" i="95"/>
  <c r="AV31" i="95"/>
  <c r="AW31" i="95"/>
  <c r="AX31" i="95"/>
  <c r="W31" i="95"/>
  <c r="AY30" i="95"/>
  <c r="AT30" i="95"/>
  <c r="AV30" i="95"/>
  <c r="AW30" i="95"/>
  <c r="AX30" i="95"/>
  <c r="G30" i="95"/>
  <c r="AY29" i="95"/>
  <c r="AT29" i="95"/>
  <c r="AV29" i="95"/>
  <c r="AW29" i="95"/>
  <c r="AX29" i="95"/>
  <c r="S29" i="95"/>
  <c r="W29" i="95"/>
  <c r="G29" i="95"/>
  <c r="AY28" i="95"/>
  <c r="AT28" i="95"/>
  <c r="AV28" i="95"/>
  <c r="AW28" i="95"/>
  <c r="AX28" i="95"/>
  <c r="W28" i="95"/>
  <c r="AY27" i="95"/>
  <c r="AT27" i="95"/>
  <c r="AV27" i="95"/>
  <c r="AW27" i="95"/>
  <c r="AX27" i="95"/>
  <c r="W27" i="95"/>
  <c r="AY26" i="95"/>
  <c r="AT26" i="95"/>
  <c r="AV26" i="95"/>
  <c r="AW26" i="95"/>
  <c r="AX26" i="95"/>
  <c r="W26" i="95"/>
  <c r="AY25" i="95"/>
  <c r="AT25" i="95"/>
  <c r="AV25" i="95"/>
  <c r="AW25" i="95"/>
  <c r="AX25" i="95"/>
  <c r="W21" i="95"/>
  <c r="V21" i="95"/>
  <c r="T21" i="95"/>
  <c r="S21" i="95"/>
  <c r="V20" i="95"/>
  <c r="T20" i="95"/>
  <c r="S20" i="95"/>
  <c r="V18" i="95"/>
  <c r="T18" i="95"/>
  <c r="S18" i="95"/>
  <c r="V17" i="95"/>
  <c r="T17" i="95"/>
  <c r="S17" i="95"/>
  <c r="U11" i="95"/>
  <c r="AE7" i="95"/>
  <c r="AE8" i="95"/>
  <c r="AE6" i="95"/>
  <c r="BB5" i="95"/>
  <c r="AY111" i="94"/>
  <c r="AT111" i="94"/>
  <c r="AV111" i="94"/>
  <c r="AW111" i="94"/>
  <c r="AX111" i="94"/>
  <c r="AY110" i="94"/>
  <c r="AT110" i="94"/>
  <c r="AV110" i="94"/>
  <c r="AW110" i="94"/>
  <c r="AX110" i="94"/>
  <c r="AY109" i="94"/>
  <c r="AT109" i="94"/>
  <c r="AV109" i="94"/>
  <c r="AW109" i="94"/>
  <c r="AX109" i="94"/>
  <c r="AY108" i="94"/>
  <c r="AT108" i="94"/>
  <c r="AV108" i="94"/>
  <c r="AW108" i="94"/>
  <c r="AX108" i="94"/>
  <c r="AY107" i="94"/>
  <c r="AT107" i="94"/>
  <c r="AV107" i="94"/>
  <c r="AW107" i="94"/>
  <c r="AX107" i="94"/>
  <c r="AY106" i="94"/>
  <c r="AT106" i="94"/>
  <c r="AV106" i="94"/>
  <c r="AW106" i="94"/>
  <c r="AX106" i="94"/>
  <c r="AY105" i="94"/>
  <c r="AT105" i="94"/>
  <c r="AV105" i="94"/>
  <c r="AW105" i="94"/>
  <c r="AX105" i="94"/>
  <c r="AY104" i="94"/>
  <c r="AT104" i="94"/>
  <c r="AV104" i="94"/>
  <c r="AW104" i="94"/>
  <c r="AX104" i="94"/>
  <c r="AY103" i="94"/>
  <c r="AT103" i="94"/>
  <c r="AV103" i="94"/>
  <c r="AW103" i="94"/>
  <c r="AX103" i="94"/>
  <c r="AY102" i="94"/>
  <c r="AT102" i="94"/>
  <c r="AV102" i="94"/>
  <c r="AW102" i="94"/>
  <c r="AX102" i="94"/>
  <c r="AY101" i="94"/>
  <c r="AT101" i="94"/>
  <c r="AV101" i="94"/>
  <c r="AW101" i="94"/>
  <c r="AX101" i="94"/>
  <c r="AY100" i="94"/>
  <c r="AT100" i="94"/>
  <c r="AV100" i="94"/>
  <c r="AW100" i="94"/>
  <c r="AX100" i="94"/>
  <c r="AY99" i="94"/>
  <c r="AT99" i="94"/>
  <c r="AV99" i="94"/>
  <c r="AW99" i="94"/>
  <c r="AX99" i="94"/>
  <c r="AY98" i="94"/>
  <c r="AT98" i="94"/>
  <c r="AV98" i="94"/>
  <c r="AW98" i="94"/>
  <c r="AX98" i="94"/>
  <c r="AY97" i="94"/>
  <c r="AT97" i="94"/>
  <c r="AV97" i="94"/>
  <c r="AW97" i="94"/>
  <c r="AX97" i="94"/>
  <c r="AY96" i="94"/>
  <c r="AT96" i="94"/>
  <c r="AV96" i="94"/>
  <c r="AW96" i="94"/>
  <c r="AX96" i="94"/>
  <c r="AY95" i="94"/>
  <c r="AT95" i="94"/>
  <c r="AV95" i="94"/>
  <c r="AW95" i="94"/>
  <c r="AX95" i="94"/>
  <c r="AY94" i="94"/>
  <c r="AT94" i="94"/>
  <c r="AV94" i="94"/>
  <c r="AW94" i="94"/>
  <c r="AX94" i="94"/>
  <c r="AY93" i="94"/>
  <c r="AT93" i="94"/>
  <c r="AV93" i="94"/>
  <c r="AW93" i="94"/>
  <c r="AX93" i="94"/>
  <c r="AY92" i="94"/>
  <c r="AT92" i="94"/>
  <c r="AV92" i="94"/>
  <c r="AW92" i="94"/>
  <c r="AX92" i="94"/>
  <c r="AY91" i="94"/>
  <c r="AT91" i="94"/>
  <c r="AV91" i="94"/>
  <c r="AW91" i="94"/>
  <c r="AX91" i="94"/>
  <c r="AY90" i="94"/>
  <c r="AT90" i="94"/>
  <c r="AV90" i="94"/>
  <c r="AW90" i="94"/>
  <c r="AX90" i="94"/>
  <c r="AY89" i="94"/>
  <c r="AT89" i="94"/>
  <c r="AV89" i="94"/>
  <c r="AW89" i="94"/>
  <c r="AX89" i="94"/>
  <c r="AY88" i="94"/>
  <c r="AT88" i="94"/>
  <c r="AV88" i="94"/>
  <c r="AW88" i="94"/>
  <c r="AX88" i="94"/>
  <c r="AY87" i="94"/>
  <c r="AT87" i="94"/>
  <c r="AV87" i="94"/>
  <c r="AW87" i="94"/>
  <c r="AX87" i="94"/>
  <c r="AY86" i="94"/>
  <c r="AT86" i="94"/>
  <c r="AV86" i="94"/>
  <c r="AW86" i="94"/>
  <c r="AX86" i="94"/>
  <c r="AY85" i="94"/>
  <c r="AT85" i="94"/>
  <c r="AV85" i="94"/>
  <c r="AW85" i="94"/>
  <c r="AX85" i="94"/>
  <c r="AY84" i="94"/>
  <c r="AT84" i="94"/>
  <c r="AV84" i="94"/>
  <c r="AW84" i="94"/>
  <c r="AX84" i="94"/>
  <c r="AY83" i="94"/>
  <c r="AT83" i="94"/>
  <c r="AV83" i="94"/>
  <c r="AW83" i="94"/>
  <c r="AX83" i="94"/>
  <c r="AY82" i="94"/>
  <c r="AT82" i="94"/>
  <c r="AV82" i="94"/>
  <c r="AW82" i="94"/>
  <c r="AX82" i="94"/>
  <c r="AY81" i="94"/>
  <c r="AT81" i="94"/>
  <c r="AV81" i="94"/>
  <c r="AW81" i="94"/>
  <c r="AX81" i="94"/>
  <c r="AY80" i="94"/>
  <c r="AT80" i="94"/>
  <c r="AV80" i="94"/>
  <c r="AW80" i="94"/>
  <c r="AX80" i="94"/>
  <c r="AY79" i="94"/>
  <c r="AT79" i="94"/>
  <c r="AV79" i="94"/>
  <c r="AW79" i="94"/>
  <c r="AX79" i="94"/>
  <c r="AY78" i="94"/>
  <c r="AT78" i="94"/>
  <c r="AV78" i="94"/>
  <c r="AW78" i="94"/>
  <c r="AX78" i="94"/>
  <c r="AY77" i="94"/>
  <c r="AT77" i="94"/>
  <c r="AV77" i="94"/>
  <c r="AW77" i="94"/>
  <c r="AX77" i="94"/>
  <c r="AY76" i="94"/>
  <c r="AT76" i="94"/>
  <c r="AV76" i="94"/>
  <c r="AW76" i="94"/>
  <c r="AX76" i="94"/>
  <c r="AY75" i="94"/>
  <c r="AT75" i="94"/>
  <c r="AV75" i="94"/>
  <c r="AW75" i="94"/>
  <c r="AX75" i="94"/>
  <c r="AY74" i="94"/>
  <c r="AT74" i="94"/>
  <c r="AV74" i="94"/>
  <c r="AW74" i="94"/>
  <c r="AX74" i="94"/>
  <c r="AY73" i="94"/>
  <c r="AT73" i="94"/>
  <c r="AV73" i="94"/>
  <c r="AW73" i="94"/>
  <c r="AX73" i="94"/>
  <c r="AY72" i="94"/>
  <c r="AT72" i="94"/>
  <c r="AV72" i="94"/>
  <c r="AW72" i="94"/>
  <c r="AX72" i="94"/>
  <c r="AY71" i="94"/>
  <c r="AT71" i="94"/>
  <c r="AV71" i="94"/>
  <c r="AW71" i="94"/>
  <c r="AX71" i="94"/>
  <c r="AY70" i="94"/>
  <c r="AT70" i="94"/>
  <c r="AV70" i="94"/>
  <c r="AW70" i="94"/>
  <c r="AX70" i="94"/>
  <c r="AY69" i="94"/>
  <c r="AT69" i="94"/>
  <c r="AV69" i="94"/>
  <c r="AW69" i="94"/>
  <c r="AX69" i="94"/>
  <c r="AY68" i="94"/>
  <c r="AT68" i="94"/>
  <c r="AV68" i="94"/>
  <c r="AW68" i="94"/>
  <c r="AX68" i="94"/>
  <c r="AY67" i="94"/>
  <c r="AT67" i="94"/>
  <c r="AV67" i="94"/>
  <c r="AW67" i="94"/>
  <c r="AX67" i="94"/>
  <c r="AY66" i="94"/>
  <c r="AT66" i="94"/>
  <c r="AV66" i="94"/>
  <c r="AW66" i="94"/>
  <c r="AX66" i="94"/>
  <c r="AY65" i="94"/>
  <c r="AT65" i="94"/>
  <c r="AV65" i="94"/>
  <c r="AW65" i="94"/>
  <c r="AX65" i="94"/>
  <c r="AY64" i="94"/>
  <c r="AT64" i="94"/>
  <c r="AV64" i="94"/>
  <c r="AW64" i="94"/>
  <c r="AX64" i="94"/>
  <c r="AY63" i="94"/>
  <c r="AT63" i="94"/>
  <c r="AV63" i="94"/>
  <c r="AW63" i="94"/>
  <c r="AX63" i="94"/>
  <c r="AY62" i="94"/>
  <c r="AT62" i="94"/>
  <c r="AV62" i="94"/>
  <c r="AW62" i="94"/>
  <c r="AX62" i="94"/>
  <c r="AY61" i="94"/>
  <c r="AT61" i="94"/>
  <c r="AV61" i="94"/>
  <c r="AW61" i="94"/>
  <c r="AX61" i="94"/>
  <c r="AY60" i="94"/>
  <c r="AT60" i="94"/>
  <c r="AV60" i="94"/>
  <c r="AW60" i="94"/>
  <c r="AX60" i="94"/>
  <c r="AY59" i="94"/>
  <c r="AT59" i="94"/>
  <c r="AV59" i="94"/>
  <c r="AW59" i="94"/>
  <c r="AX59" i="94"/>
  <c r="AY58" i="94"/>
  <c r="AT58" i="94"/>
  <c r="AV58" i="94"/>
  <c r="AW58" i="94"/>
  <c r="AX58" i="94"/>
  <c r="AY57" i="94"/>
  <c r="AT57" i="94"/>
  <c r="AV57" i="94"/>
  <c r="AW57" i="94"/>
  <c r="AX57" i="94"/>
  <c r="AY56" i="94"/>
  <c r="AT56" i="94"/>
  <c r="AV56" i="94"/>
  <c r="AW56" i="94"/>
  <c r="AX56" i="94"/>
  <c r="AY55" i="94"/>
  <c r="AT55" i="94"/>
  <c r="AV55" i="94"/>
  <c r="AW55" i="94"/>
  <c r="AX55" i="94"/>
  <c r="AY54" i="94"/>
  <c r="AT54" i="94"/>
  <c r="AV54" i="94"/>
  <c r="AW54" i="94"/>
  <c r="AX54" i="94"/>
  <c r="AY53" i="94"/>
  <c r="AT53" i="94"/>
  <c r="AV53" i="94"/>
  <c r="AW53" i="94"/>
  <c r="AX53" i="94"/>
  <c r="AY52" i="94"/>
  <c r="AT52" i="94"/>
  <c r="AV52" i="94"/>
  <c r="AW52" i="94"/>
  <c r="AX52" i="94"/>
  <c r="AY51" i="94"/>
  <c r="AT51" i="94"/>
  <c r="AV51" i="94"/>
  <c r="AW51" i="94"/>
  <c r="AX51" i="94"/>
  <c r="AY50" i="94"/>
  <c r="AT50" i="94"/>
  <c r="AV50" i="94"/>
  <c r="AW50" i="94"/>
  <c r="AX50" i="94"/>
  <c r="AY49" i="94"/>
  <c r="AT49" i="94"/>
  <c r="AV49" i="94"/>
  <c r="AW49" i="94"/>
  <c r="AX49" i="94"/>
  <c r="AY48" i="94"/>
  <c r="AT48" i="94"/>
  <c r="AV48" i="94"/>
  <c r="AW48" i="94"/>
  <c r="AX48" i="94"/>
  <c r="AY47" i="94"/>
  <c r="AT47" i="94"/>
  <c r="AV47" i="94"/>
  <c r="AW47" i="94"/>
  <c r="AX47" i="94"/>
  <c r="AY46" i="94"/>
  <c r="AT46" i="94"/>
  <c r="AV46" i="94"/>
  <c r="AW46" i="94"/>
  <c r="AX46" i="94"/>
  <c r="AY45" i="94"/>
  <c r="AT45" i="94"/>
  <c r="AV45" i="94"/>
  <c r="AW45" i="94"/>
  <c r="AX45" i="94"/>
  <c r="AY44" i="94"/>
  <c r="AT44" i="94"/>
  <c r="AV44" i="94"/>
  <c r="AW44" i="94"/>
  <c r="AX44" i="94"/>
  <c r="AY43" i="94"/>
  <c r="AT43" i="94"/>
  <c r="AV43" i="94"/>
  <c r="AW43" i="94"/>
  <c r="AX43" i="94"/>
  <c r="AY42" i="94"/>
  <c r="AT42" i="94"/>
  <c r="AV42" i="94"/>
  <c r="AW42" i="94"/>
  <c r="AX42" i="94"/>
  <c r="AY41" i="94"/>
  <c r="AT41" i="94"/>
  <c r="AV41" i="94"/>
  <c r="AW41" i="94"/>
  <c r="AX41" i="94"/>
  <c r="AY40" i="94"/>
  <c r="AT40" i="94"/>
  <c r="AV40" i="94"/>
  <c r="AW40" i="94"/>
  <c r="AX40" i="94"/>
  <c r="AY39" i="94"/>
  <c r="AT39" i="94"/>
  <c r="AV39" i="94"/>
  <c r="AW39" i="94"/>
  <c r="AX39" i="94"/>
  <c r="AY38" i="94"/>
  <c r="AT38" i="94"/>
  <c r="AV38" i="94"/>
  <c r="AW38" i="94"/>
  <c r="AX38" i="94"/>
  <c r="AY37" i="94"/>
  <c r="AT37" i="94"/>
  <c r="AV37" i="94"/>
  <c r="AW37" i="94"/>
  <c r="AX37" i="94"/>
  <c r="AY36" i="94"/>
  <c r="AT36" i="94"/>
  <c r="AV36" i="94"/>
  <c r="AW36" i="94"/>
  <c r="AX36" i="94"/>
  <c r="AY35" i="94"/>
  <c r="AT35" i="94"/>
  <c r="AV35" i="94"/>
  <c r="AW35" i="94"/>
  <c r="AX35" i="94"/>
  <c r="W35" i="94"/>
  <c r="AY34" i="94"/>
  <c r="AT34" i="94"/>
  <c r="AV34" i="94"/>
  <c r="AW34" i="94"/>
  <c r="AX34" i="94"/>
  <c r="AY33" i="94"/>
  <c r="AT33" i="94"/>
  <c r="AV33" i="94"/>
  <c r="AW33" i="94"/>
  <c r="AX33" i="94"/>
  <c r="W33" i="94"/>
  <c r="AY32" i="94"/>
  <c r="AT32" i="94"/>
  <c r="AV32" i="94"/>
  <c r="AW32" i="94"/>
  <c r="AX32" i="94"/>
  <c r="W32" i="94"/>
  <c r="AY31" i="94"/>
  <c r="AT31" i="94"/>
  <c r="AV31" i="94"/>
  <c r="AW31" i="94"/>
  <c r="AX31" i="94"/>
  <c r="W31" i="94"/>
  <c r="AY30" i="94"/>
  <c r="AT30" i="94"/>
  <c r="AV30" i="94"/>
  <c r="AW30" i="94"/>
  <c r="AX30" i="94"/>
  <c r="G30" i="94"/>
  <c r="AY29" i="94"/>
  <c r="AT29" i="94"/>
  <c r="AV29" i="94"/>
  <c r="AW29" i="94"/>
  <c r="AX29" i="94"/>
  <c r="S29" i="94"/>
  <c r="W29" i="94"/>
  <c r="G29" i="94"/>
  <c r="AY28" i="94"/>
  <c r="AT28" i="94"/>
  <c r="AV28" i="94"/>
  <c r="AW28" i="94"/>
  <c r="AX28" i="94"/>
  <c r="W28" i="94"/>
  <c r="AY27" i="94"/>
  <c r="AT27" i="94"/>
  <c r="AV27" i="94"/>
  <c r="AW27" i="94"/>
  <c r="AX27" i="94"/>
  <c r="W27" i="94"/>
  <c r="AY26" i="94"/>
  <c r="AT26" i="94"/>
  <c r="AV26" i="94"/>
  <c r="AW26" i="94"/>
  <c r="AX26" i="94"/>
  <c r="W26" i="94"/>
  <c r="AY25" i="94"/>
  <c r="AT25" i="94"/>
  <c r="AV25" i="94"/>
  <c r="AW25" i="94"/>
  <c r="AX25" i="94"/>
  <c r="W21" i="94"/>
  <c r="V21" i="94"/>
  <c r="T21" i="94"/>
  <c r="S21" i="94"/>
  <c r="V20" i="94"/>
  <c r="T20" i="94"/>
  <c r="S20" i="94"/>
  <c r="V18" i="94"/>
  <c r="T18" i="94"/>
  <c r="S18" i="94"/>
  <c r="V17" i="94"/>
  <c r="T17" i="94"/>
  <c r="S17" i="94"/>
  <c r="U11" i="94"/>
  <c r="AE7" i="94"/>
  <c r="AE8" i="94"/>
  <c r="AE6" i="94"/>
  <c r="BB5" i="94"/>
  <c r="AY111" i="93"/>
  <c r="AT111" i="93"/>
  <c r="AV111" i="93"/>
  <c r="AW111" i="93"/>
  <c r="AX111" i="93"/>
  <c r="AY110" i="93"/>
  <c r="AT110" i="93"/>
  <c r="AV110" i="93"/>
  <c r="AW110" i="93"/>
  <c r="AX110" i="93"/>
  <c r="AY109" i="93"/>
  <c r="AT109" i="93"/>
  <c r="AV109" i="93"/>
  <c r="AW109" i="93"/>
  <c r="AX109" i="93"/>
  <c r="AY108" i="93"/>
  <c r="AT108" i="93"/>
  <c r="AV108" i="93"/>
  <c r="AW108" i="93"/>
  <c r="AX108" i="93"/>
  <c r="AY107" i="93"/>
  <c r="AT107" i="93"/>
  <c r="AV107" i="93"/>
  <c r="AW107" i="93"/>
  <c r="AX107" i="93"/>
  <c r="AY106" i="93"/>
  <c r="AT106" i="93"/>
  <c r="AV106" i="93"/>
  <c r="AW106" i="93"/>
  <c r="AX106" i="93"/>
  <c r="AY105" i="93"/>
  <c r="AT105" i="93"/>
  <c r="AV105" i="93"/>
  <c r="AW105" i="93"/>
  <c r="AX105" i="93"/>
  <c r="AY104" i="93"/>
  <c r="AT104" i="93"/>
  <c r="AV104" i="93"/>
  <c r="AW104" i="93"/>
  <c r="AX104" i="93"/>
  <c r="AY103" i="93"/>
  <c r="AT103" i="93"/>
  <c r="AV103" i="93"/>
  <c r="AW103" i="93"/>
  <c r="AX103" i="93"/>
  <c r="AY102" i="93"/>
  <c r="AT102" i="93"/>
  <c r="AV102" i="93"/>
  <c r="AW102" i="93"/>
  <c r="AX102" i="93"/>
  <c r="AY101" i="93"/>
  <c r="AT101" i="93"/>
  <c r="AV101" i="93"/>
  <c r="AW101" i="93"/>
  <c r="AX101" i="93"/>
  <c r="AY100" i="93"/>
  <c r="AT100" i="93"/>
  <c r="AV100" i="93"/>
  <c r="AW100" i="93"/>
  <c r="AX100" i="93"/>
  <c r="AY99" i="93"/>
  <c r="AT99" i="93"/>
  <c r="AV99" i="93"/>
  <c r="AW99" i="93"/>
  <c r="AX99" i="93"/>
  <c r="AY98" i="93"/>
  <c r="AT98" i="93"/>
  <c r="AV98" i="93"/>
  <c r="AW98" i="93"/>
  <c r="AX98" i="93"/>
  <c r="AY97" i="93"/>
  <c r="AT97" i="93"/>
  <c r="AV97" i="93"/>
  <c r="AW97" i="93"/>
  <c r="AX97" i="93"/>
  <c r="AY96" i="93"/>
  <c r="AT96" i="93"/>
  <c r="AV96" i="93"/>
  <c r="AW96" i="93"/>
  <c r="AX96" i="93"/>
  <c r="AY95" i="93"/>
  <c r="AT95" i="93"/>
  <c r="AV95" i="93"/>
  <c r="AW95" i="93"/>
  <c r="AX95" i="93"/>
  <c r="AY94" i="93"/>
  <c r="AT94" i="93"/>
  <c r="AV94" i="93"/>
  <c r="AW94" i="93"/>
  <c r="AX94" i="93"/>
  <c r="AY93" i="93"/>
  <c r="AT93" i="93"/>
  <c r="AV93" i="93"/>
  <c r="AW93" i="93"/>
  <c r="AX93" i="93"/>
  <c r="AY92" i="93"/>
  <c r="AT92" i="93"/>
  <c r="AV92" i="93"/>
  <c r="AW92" i="93"/>
  <c r="AX92" i="93"/>
  <c r="AY91" i="93"/>
  <c r="AT91" i="93"/>
  <c r="AV91" i="93"/>
  <c r="AW91" i="93"/>
  <c r="AX91" i="93"/>
  <c r="AY90" i="93"/>
  <c r="AT90" i="93"/>
  <c r="AV90" i="93"/>
  <c r="AW90" i="93"/>
  <c r="AX90" i="93"/>
  <c r="AY89" i="93"/>
  <c r="AT89" i="93"/>
  <c r="AV89" i="93"/>
  <c r="AW89" i="93"/>
  <c r="AX89" i="93"/>
  <c r="AY88" i="93"/>
  <c r="AT88" i="93"/>
  <c r="AV88" i="93"/>
  <c r="AW88" i="93"/>
  <c r="AX88" i="93"/>
  <c r="AY87" i="93"/>
  <c r="AT87" i="93"/>
  <c r="AV87" i="93"/>
  <c r="AW87" i="93"/>
  <c r="AX87" i="93"/>
  <c r="AY86" i="93"/>
  <c r="AT86" i="93"/>
  <c r="AV86" i="93"/>
  <c r="AW86" i="93"/>
  <c r="AX86" i="93"/>
  <c r="AY85" i="93"/>
  <c r="AT85" i="93"/>
  <c r="AV85" i="93"/>
  <c r="AW85" i="93"/>
  <c r="AX85" i="93"/>
  <c r="AY84" i="93"/>
  <c r="AT84" i="93"/>
  <c r="AV84" i="93"/>
  <c r="AW84" i="93"/>
  <c r="AX84" i="93"/>
  <c r="AY83" i="93"/>
  <c r="AT83" i="93"/>
  <c r="AV83" i="93"/>
  <c r="AW83" i="93"/>
  <c r="AX83" i="93"/>
  <c r="AY82" i="93"/>
  <c r="AT82" i="93"/>
  <c r="AV82" i="93"/>
  <c r="AW82" i="93"/>
  <c r="AX82" i="93"/>
  <c r="AY81" i="93"/>
  <c r="AT81" i="93"/>
  <c r="AV81" i="93"/>
  <c r="AW81" i="93"/>
  <c r="AX81" i="93"/>
  <c r="AY80" i="93"/>
  <c r="AT80" i="93"/>
  <c r="AV80" i="93"/>
  <c r="AW80" i="93"/>
  <c r="AX80" i="93"/>
  <c r="AY79" i="93"/>
  <c r="AT79" i="93"/>
  <c r="AV79" i="93"/>
  <c r="AW79" i="93"/>
  <c r="AX79" i="93"/>
  <c r="AY78" i="93"/>
  <c r="AT78" i="93"/>
  <c r="AV78" i="93"/>
  <c r="AW78" i="93"/>
  <c r="AX78" i="93"/>
  <c r="AY77" i="93"/>
  <c r="AT77" i="93"/>
  <c r="AV77" i="93"/>
  <c r="AW77" i="93"/>
  <c r="AX77" i="93"/>
  <c r="AY76" i="93"/>
  <c r="AT76" i="93"/>
  <c r="AV76" i="93"/>
  <c r="AW76" i="93"/>
  <c r="AX76" i="93"/>
  <c r="AY75" i="93"/>
  <c r="AT75" i="93"/>
  <c r="AV75" i="93"/>
  <c r="AW75" i="93"/>
  <c r="AX75" i="93"/>
  <c r="AY74" i="93"/>
  <c r="AT74" i="93"/>
  <c r="AV74" i="93"/>
  <c r="AW74" i="93"/>
  <c r="AX74" i="93"/>
  <c r="AY73" i="93"/>
  <c r="AT73" i="93"/>
  <c r="AV73" i="93"/>
  <c r="AW73" i="93"/>
  <c r="AX73" i="93"/>
  <c r="AY72" i="93"/>
  <c r="AT72" i="93"/>
  <c r="AV72" i="93"/>
  <c r="AW72" i="93"/>
  <c r="AX72" i="93"/>
  <c r="AY71" i="93"/>
  <c r="AT71" i="93"/>
  <c r="AV71" i="93"/>
  <c r="AW71" i="93"/>
  <c r="AX71" i="93"/>
  <c r="AY70" i="93"/>
  <c r="AT70" i="93"/>
  <c r="AV70" i="93"/>
  <c r="AW70" i="93"/>
  <c r="AX70" i="93"/>
  <c r="AY69" i="93"/>
  <c r="AT69" i="93"/>
  <c r="AV69" i="93"/>
  <c r="AW69" i="93"/>
  <c r="AX69" i="93"/>
  <c r="AY68" i="93"/>
  <c r="AT68" i="93"/>
  <c r="AV68" i="93"/>
  <c r="AW68" i="93"/>
  <c r="AX68" i="93"/>
  <c r="AY67" i="93"/>
  <c r="AT67" i="93"/>
  <c r="AV67" i="93"/>
  <c r="AW67" i="93"/>
  <c r="AX67" i="93"/>
  <c r="AY66" i="93"/>
  <c r="AT66" i="93"/>
  <c r="AV66" i="93"/>
  <c r="AW66" i="93"/>
  <c r="AX66" i="93"/>
  <c r="AY65" i="93"/>
  <c r="AT65" i="93"/>
  <c r="AV65" i="93"/>
  <c r="AW65" i="93"/>
  <c r="AX65" i="93"/>
  <c r="AY64" i="93"/>
  <c r="AT64" i="93"/>
  <c r="AV64" i="93"/>
  <c r="AW64" i="93"/>
  <c r="AX64" i="93"/>
  <c r="AY63" i="93"/>
  <c r="AT63" i="93"/>
  <c r="AV63" i="93"/>
  <c r="AW63" i="93"/>
  <c r="AX63" i="93"/>
  <c r="AY62" i="93"/>
  <c r="AT62" i="93"/>
  <c r="AV62" i="93"/>
  <c r="AW62" i="93"/>
  <c r="AX62" i="93"/>
  <c r="AY61" i="93"/>
  <c r="AT61" i="93"/>
  <c r="AV61" i="93"/>
  <c r="AW61" i="93"/>
  <c r="AX61" i="93"/>
  <c r="AY60" i="93"/>
  <c r="AT60" i="93"/>
  <c r="AV60" i="93"/>
  <c r="AW60" i="93"/>
  <c r="AX60" i="93"/>
  <c r="AY59" i="93"/>
  <c r="AT59" i="93"/>
  <c r="AV59" i="93"/>
  <c r="AW59" i="93"/>
  <c r="AX59" i="93"/>
  <c r="AY58" i="93"/>
  <c r="AT58" i="93"/>
  <c r="AV58" i="93"/>
  <c r="AW58" i="93"/>
  <c r="AX58" i="93"/>
  <c r="AY57" i="93"/>
  <c r="AT57" i="93"/>
  <c r="AV57" i="93"/>
  <c r="AW57" i="93"/>
  <c r="AX57" i="93"/>
  <c r="AY56" i="93"/>
  <c r="AT56" i="93"/>
  <c r="AV56" i="93"/>
  <c r="AW56" i="93"/>
  <c r="AX56" i="93"/>
  <c r="AY55" i="93"/>
  <c r="AT55" i="93"/>
  <c r="AV55" i="93"/>
  <c r="AW55" i="93"/>
  <c r="AX55" i="93"/>
  <c r="AY54" i="93"/>
  <c r="AT54" i="93"/>
  <c r="AV54" i="93"/>
  <c r="AW54" i="93"/>
  <c r="AX54" i="93"/>
  <c r="AY53" i="93"/>
  <c r="AT53" i="93"/>
  <c r="AV53" i="93"/>
  <c r="AW53" i="93"/>
  <c r="AX53" i="93"/>
  <c r="AY52" i="93"/>
  <c r="AT52" i="93"/>
  <c r="AV52" i="93"/>
  <c r="AW52" i="93"/>
  <c r="AX52" i="93"/>
  <c r="AY51" i="93"/>
  <c r="AT51" i="93"/>
  <c r="AV51" i="93"/>
  <c r="AW51" i="93"/>
  <c r="AX51" i="93"/>
  <c r="AY50" i="93"/>
  <c r="AT50" i="93"/>
  <c r="AV50" i="93"/>
  <c r="AW50" i="93"/>
  <c r="AX50" i="93"/>
  <c r="AY49" i="93"/>
  <c r="AT49" i="93"/>
  <c r="AV49" i="93"/>
  <c r="AW49" i="93"/>
  <c r="AX49" i="93"/>
  <c r="AY48" i="93"/>
  <c r="AT48" i="93"/>
  <c r="AV48" i="93"/>
  <c r="AW48" i="93"/>
  <c r="AX48" i="93"/>
  <c r="AY47" i="93"/>
  <c r="AT47" i="93"/>
  <c r="AV47" i="93"/>
  <c r="AW47" i="93"/>
  <c r="AX47" i="93"/>
  <c r="AY46" i="93"/>
  <c r="AT46" i="93"/>
  <c r="AV46" i="93"/>
  <c r="AW46" i="93"/>
  <c r="AX46" i="93"/>
  <c r="AY45" i="93"/>
  <c r="AT45" i="93"/>
  <c r="AV45" i="93"/>
  <c r="AW45" i="93"/>
  <c r="AX45" i="93"/>
  <c r="AY44" i="93"/>
  <c r="AT44" i="93"/>
  <c r="AV44" i="93"/>
  <c r="AW44" i="93"/>
  <c r="AX44" i="93"/>
  <c r="AY43" i="93"/>
  <c r="AT43" i="93"/>
  <c r="AV43" i="93"/>
  <c r="AW43" i="93"/>
  <c r="AX43" i="93"/>
  <c r="AY42" i="93"/>
  <c r="AT42" i="93"/>
  <c r="AV42" i="93"/>
  <c r="AW42" i="93"/>
  <c r="AX42" i="93"/>
  <c r="AY41" i="93"/>
  <c r="AT41" i="93"/>
  <c r="AV41" i="93"/>
  <c r="AW41" i="93"/>
  <c r="AX41" i="93"/>
  <c r="AY40" i="93"/>
  <c r="AT40" i="93"/>
  <c r="AV40" i="93"/>
  <c r="AW40" i="93"/>
  <c r="AX40" i="93"/>
  <c r="AY39" i="93"/>
  <c r="AT39" i="93"/>
  <c r="AV39" i="93"/>
  <c r="AW39" i="93"/>
  <c r="AX39" i="93"/>
  <c r="AY38" i="93"/>
  <c r="AT38" i="93"/>
  <c r="AV38" i="93"/>
  <c r="AW38" i="93"/>
  <c r="AX38" i="93"/>
  <c r="AY37" i="93"/>
  <c r="AT37" i="93"/>
  <c r="AV37" i="93"/>
  <c r="AW37" i="93"/>
  <c r="AX37" i="93"/>
  <c r="AY36" i="93"/>
  <c r="AT36" i="93"/>
  <c r="AV36" i="93"/>
  <c r="AW36" i="93"/>
  <c r="AX36" i="93"/>
  <c r="AY35" i="93"/>
  <c r="AT35" i="93"/>
  <c r="AV35" i="93"/>
  <c r="AW35" i="93"/>
  <c r="AX35" i="93"/>
  <c r="W35" i="93"/>
  <c r="AY34" i="93"/>
  <c r="AT34" i="93"/>
  <c r="AV34" i="93"/>
  <c r="AW34" i="93"/>
  <c r="AX34" i="93"/>
  <c r="AY33" i="93"/>
  <c r="AT33" i="93"/>
  <c r="AV33" i="93"/>
  <c r="AW33" i="93"/>
  <c r="AX33" i="93"/>
  <c r="W33" i="93"/>
  <c r="AY32" i="93"/>
  <c r="AT32" i="93"/>
  <c r="AV32" i="93"/>
  <c r="AW32" i="93"/>
  <c r="AX32" i="93"/>
  <c r="W32" i="93"/>
  <c r="AY31" i="93"/>
  <c r="AT31" i="93"/>
  <c r="AV31" i="93"/>
  <c r="AW31" i="93"/>
  <c r="AX31" i="93"/>
  <c r="W31" i="93"/>
  <c r="AY30" i="93"/>
  <c r="AT30" i="93"/>
  <c r="AV30" i="93"/>
  <c r="AW30" i="93"/>
  <c r="AX30" i="93"/>
  <c r="G30" i="93"/>
  <c r="AY29" i="93"/>
  <c r="AT29" i="93"/>
  <c r="AV29" i="93"/>
  <c r="AW29" i="93"/>
  <c r="AX29" i="93"/>
  <c r="S29" i="93"/>
  <c r="W29" i="93"/>
  <c r="G29" i="93"/>
  <c r="AY28" i="93"/>
  <c r="AT28" i="93"/>
  <c r="AV28" i="93"/>
  <c r="AW28" i="93"/>
  <c r="AX28" i="93"/>
  <c r="W28" i="93"/>
  <c r="AY27" i="93"/>
  <c r="AT27" i="93"/>
  <c r="AV27" i="93"/>
  <c r="AW27" i="93"/>
  <c r="AX27" i="93"/>
  <c r="W27" i="93"/>
  <c r="AY26" i="93"/>
  <c r="AT26" i="93"/>
  <c r="AV26" i="93"/>
  <c r="AW26" i="93"/>
  <c r="AX26" i="93"/>
  <c r="W26" i="93"/>
  <c r="AY25" i="93"/>
  <c r="AT25" i="93"/>
  <c r="AV25" i="93"/>
  <c r="AW25" i="93"/>
  <c r="AX25" i="93"/>
  <c r="AY24" i="93"/>
  <c r="AT24" i="93"/>
  <c r="AV24" i="93"/>
  <c r="AW24" i="93"/>
  <c r="AX24" i="93"/>
  <c r="AY23" i="93"/>
  <c r="AT23" i="93"/>
  <c r="AV23" i="93"/>
  <c r="AW23" i="93"/>
  <c r="AX23" i="93"/>
  <c r="AY22" i="93"/>
  <c r="AT22" i="93"/>
  <c r="AV22" i="93"/>
  <c r="AW22" i="93"/>
  <c r="AX22" i="93"/>
  <c r="AY21" i="93"/>
  <c r="AT21" i="93"/>
  <c r="AV21" i="93"/>
  <c r="AW21" i="93"/>
  <c r="AX21" i="93"/>
  <c r="W21" i="93"/>
  <c r="V21" i="93"/>
  <c r="T21" i="93"/>
  <c r="S21" i="93"/>
  <c r="AY20" i="93"/>
  <c r="AT20" i="93"/>
  <c r="AV20" i="93"/>
  <c r="AW20" i="93"/>
  <c r="AX20" i="93"/>
  <c r="V20" i="93"/>
  <c r="T20" i="93"/>
  <c r="S20" i="93"/>
  <c r="V18" i="93"/>
  <c r="T18" i="93"/>
  <c r="S18" i="93"/>
  <c r="V17" i="93"/>
  <c r="T17" i="93"/>
  <c r="S17" i="93"/>
  <c r="U11" i="93"/>
  <c r="AE7" i="93"/>
  <c r="AE8" i="93"/>
  <c r="AE6" i="93"/>
  <c r="BB5" i="93"/>
  <c r="AY111" i="92"/>
  <c r="AT111" i="92"/>
  <c r="AV111" i="92"/>
  <c r="AW111" i="92"/>
  <c r="AX111" i="92"/>
  <c r="AY110" i="92"/>
  <c r="AT110" i="92"/>
  <c r="AV110" i="92"/>
  <c r="AW110" i="92"/>
  <c r="AX110" i="92"/>
  <c r="AY109" i="92"/>
  <c r="AT109" i="92"/>
  <c r="AV109" i="92"/>
  <c r="AW109" i="92"/>
  <c r="AX109" i="92"/>
  <c r="AY108" i="92"/>
  <c r="AT108" i="92"/>
  <c r="AV108" i="92"/>
  <c r="AW108" i="92"/>
  <c r="AX108" i="92"/>
  <c r="AY107" i="92"/>
  <c r="AT107" i="92"/>
  <c r="AV107" i="92"/>
  <c r="AW107" i="92"/>
  <c r="AX107" i="92"/>
  <c r="AY106" i="92"/>
  <c r="AT106" i="92"/>
  <c r="AV106" i="92"/>
  <c r="AW106" i="92"/>
  <c r="AX106" i="92"/>
  <c r="AY105" i="92"/>
  <c r="AT105" i="92"/>
  <c r="AV105" i="92"/>
  <c r="AW105" i="92"/>
  <c r="AX105" i="92"/>
  <c r="AY104" i="92"/>
  <c r="AT104" i="92"/>
  <c r="AV104" i="92"/>
  <c r="AW104" i="92"/>
  <c r="AX104" i="92"/>
  <c r="AY103" i="92"/>
  <c r="AT103" i="92"/>
  <c r="AV103" i="92"/>
  <c r="AW103" i="92"/>
  <c r="AX103" i="92"/>
  <c r="AY102" i="92"/>
  <c r="AT102" i="92"/>
  <c r="AV102" i="92"/>
  <c r="AW102" i="92"/>
  <c r="AX102" i="92"/>
  <c r="AY101" i="92"/>
  <c r="AT101" i="92"/>
  <c r="AV101" i="92"/>
  <c r="AW101" i="92"/>
  <c r="AX101" i="92"/>
  <c r="AY100" i="92"/>
  <c r="AT100" i="92"/>
  <c r="AV100" i="92"/>
  <c r="AW100" i="92"/>
  <c r="AX100" i="92"/>
  <c r="AY99" i="92"/>
  <c r="AT99" i="92"/>
  <c r="AV99" i="92"/>
  <c r="AW99" i="92"/>
  <c r="AX99" i="92"/>
  <c r="AY98" i="92"/>
  <c r="AT98" i="92"/>
  <c r="AV98" i="92"/>
  <c r="AW98" i="92"/>
  <c r="AX98" i="92"/>
  <c r="AY97" i="92"/>
  <c r="AT97" i="92"/>
  <c r="AV97" i="92"/>
  <c r="AW97" i="92"/>
  <c r="AX97" i="92"/>
  <c r="AY96" i="92"/>
  <c r="AT96" i="92"/>
  <c r="AV96" i="92"/>
  <c r="AW96" i="92"/>
  <c r="AX96" i="92"/>
  <c r="AY95" i="92"/>
  <c r="AT95" i="92"/>
  <c r="AV95" i="92"/>
  <c r="AW95" i="92"/>
  <c r="AX95" i="92"/>
  <c r="AY94" i="92"/>
  <c r="AT94" i="92"/>
  <c r="AV94" i="92"/>
  <c r="AW94" i="92"/>
  <c r="AX94" i="92"/>
  <c r="AY93" i="92"/>
  <c r="AT93" i="92"/>
  <c r="AV93" i="92"/>
  <c r="AW93" i="92"/>
  <c r="AX93" i="92"/>
  <c r="AY92" i="92"/>
  <c r="AT92" i="92"/>
  <c r="AV92" i="92"/>
  <c r="AW92" i="92"/>
  <c r="AX92" i="92"/>
  <c r="AY91" i="92"/>
  <c r="AT91" i="92"/>
  <c r="AV91" i="92"/>
  <c r="AW91" i="92"/>
  <c r="AX91" i="92"/>
  <c r="AY90" i="92"/>
  <c r="AT90" i="92"/>
  <c r="AV90" i="92"/>
  <c r="AW90" i="92"/>
  <c r="AX90" i="92"/>
  <c r="AY89" i="92"/>
  <c r="AT89" i="92"/>
  <c r="AV89" i="92"/>
  <c r="AW89" i="92"/>
  <c r="AX89" i="92"/>
  <c r="AY88" i="92"/>
  <c r="AT88" i="92"/>
  <c r="AV88" i="92"/>
  <c r="AW88" i="92"/>
  <c r="AX88" i="92"/>
  <c r="AY87" i="92"/>
  <c r="AT87" i="92"/>
  <c r="AV87" i="92"/>
  <c r="AW87" i="92"/>
  <c r="AX87" i="92"/>
  <c r="AY86" i="92"/>
  <c r="AT86" i="92"/>
  <c r="AV86" i="92"/>
  <c r="AW86" i="92"/>
  <c r="AX86" i="92"/>
  <c r="AY85" i="92"/>
  <c r="AT85" i="92"/>
  <c r="AV85" i="92"/>
  <c r="AW85" i="92"/>
  <c r="AX85" i="92"/>
  <c r="AY84" i="92"/>
  <c r="AT84" i="92"/>
  <c r="AV84" i="92"/>
  <c r="AW84" i="92"/>
  <c r="AX84" i="92"/>
  <c r="AY83" i="92"/>
  <c r="AT83" i="92"/>
  <c r="AV83" i="92"/>
  <c r="AW83" i="92"/>
  <c r="AX83" i="92"/>
  <c r="AY82" i="92"/>
  <c r="AT82" i="92"/>
  <c r="AV82" i="92"/>
  <c r="AW82" i="92"/>
  <c r="AX82" i="92"/>
  <c r="AY81" i="92"/>
  <c r="AT81" i="92"/>
  <c r="AV81" i="92"/>
  <c r="AW81" i="92"/>
  <c r="AX81" i="92"/>
  <c r="AY80" i="92"/>
  <c r="AT80" i="92"/>
  <c r="AV80" i="92"/>
  <c r="AW80" i="92"/>
  <c r="AX80" i="92"/>
  <c r="AY79" i="92"/>
  <c r="AT79" i="92"/>
  <c r="AV79" i="92"/>
  <c r="AW79" i="92"/>
  <c r="AX79" i="92"/>
  <c r="AY78" i="92"/>
  <c r="AT78" i="92"/>
  <c r="AV78" i="92"/>
  <c r="AW78" i="92"/>
  <c r="AX78" i="92"/>
  <c r="AY77" i="92"/>
  <c r="AT77" i="92"/>
  <c r="AV77" i="92"/>
  <c r="AW77" i="92"/>
  <c r="AX77" i="92"/>
  <c r="AY76" i="92"/>
  <c r="AT76" i="92"/>
  <c r="AV76" i="92"/>
  <c r="AW76" i="92"/>
  <c r="AX76" i="92"/>
  <c r="AY75" i="92"/>
  <c r="AT75" i="92"/>
  <c r="AV75" i="92"/>
  <c r="AW75" i="92"/>
  <c r="AX75" i="92"/>
  <c r="AY74" i="92"/>
  <c r="AT74" i="92"/>
  <c r="AV74" i="92"/>
  <c r="AW74" i="92"/>
  <c r="AX74" i="92"/>
  <c r="AY73" i="92"/>
  <c r="AT73" i="92"/>
  <c r="AV73" i="92"/>
  <c r="AW73" i="92"/>
  <c r="AX73" i="92"/>
  <c r="AY72" i="92"/>
  <c r="AT72" i="92"/>
  <c r="AV72" i="92"/>
  <c r="AW72" i="92"/>
  <c r="AX72" i="92"/>
  <c r="AY71" i="92"/>
  <c r="AT71" i="92"/>
  <c r="AV71" i="92"/>
  <c r="AW71" i="92"/>
  <c r="AX71" i="92"/>
  <c r="AY70" i="92"/>
  <c r="AT70" i="92"/>
  <c r="AV70" i="92"/>
  <c r="AW70" i="92"/>
  <c r="AX70" i="92"/>
  <c r="AY69" i="92"/>
  <c r="AT69" i="92"/>
  <c r="AV69" i="92"/>
  <c r="AW69" i="92"/>
  <c r="AX69" i="92"/>
  <c r="AY68" i="92"/>
  <c r="AT68" i="92"/>
  <c r="AV68" i="92"/>
  <c r="AW68" i="92"/>
  <c r="AX68" i="92"/>
  <c r="AY67" i="92"/>
  <c r="AT67" i="92"/>
  <c r="AV67" i="92"/>
  <c r="AW67" i="92"/>
  <c r="AX67" i="92"/>
  <c r="AY66" i="92"/>
  <c r="AT66" i="92"/>
  <c r="AV66" i="92"/>
  <c r="AW66" i="92"/>
  <c r="AX66" i="92"/>
  <c r="AY65" i="92"/>
  <c r="AT65" i="92"/>
  <c r="AV65" i="92"/>
  <c r="AW65" i="92"/>
  <c r="AX65" i="92"/>
  <c r="AY64" i="92"/>
  <c r="AT64" i="92"/>
  <c r="AV64" i="92"/>
  <c r="AW64" i="92"/>
  <c r="AX64" i="92"/>
  <c r="AY63" i="92"/>
  <c r="AT63" i="92"/>
  <c r="AV63" i="92"/>
  <c r="AW63" i="92"/>
  <c r="AX63" i="92"/>
  <c r="AY62" i="92"/>
  <c r="AT62" i="92"/>
  <c r="AV62" i="92"/>
  <c r="AW62" i="92"/>
  <c r="AX62" i="92"/>
  <c r="AY61" i="92"/>
  <c r="AT61" i="92"/>
  <c r="AV61" i="92"/>
  <c r="AW61" i="92"/>
  <c r="AX61" i="92"/>
  <c r="AY60" i="92"/>
  <c r="AT60" i="92"/>
  <c r="AV60" i="92"/>
  <c r="AW60" i="92"/>
  <c r="AX60" i="92"/>
  <c r="AY59" i="92"/>
  <c r="AT59" i="92"/>
  <c r="AV59" i="92"/>
  <c r="AW59" i="92"/>
  <c r="AX59" i="92"/>
  <c r="AY58" i="92"/>
  <c r="AT58" i="92"/>
  <c r="AV58" i="92"/>
  <c r="AW58" i="92"/>
  <c r="AX58" i="92"/>
  <c r="AY57" i="92"/>
  <c r="AT57" i="92"/>
  <c r="AV57" i="92"/>
  <c r="AW57" i="92"/>
  <c r="AX57" i="92"/>
  <c r="AY56" i="92"/>
  <c r="AT56" i="92"/>
  <c r="AV56" i="92"/>
  <c r="AW56" i="92"/>
  <c r="AX56" i="92"/>
  <c r="AY55" i="92"/>
  <c r="AT55" i="92"/>
  <c r="AV55" i="92"/>
  <c r="AW55" i="92"/>
  <c r="AX55" i="92"/>
  <c r="AY54" i="92"/>
  <c r="AT54" i="92"/>
  <c r="AV54" i="92"/>
  <c r="AW54" i="92"/>
  <c r="AX54" i="92"/>
  <c r="AY53" i="92"/>
  <c r="AT53" i="92"/>
  <c r="AV53" i="92"/>
  <c r="AW53" i="92"/>
  <c r="AX53" i="92"/>
  <c r="AY52" i="92"/>
  <c r="AT52" i="92"/>
  <c r="AV52" i="92"/>
  <c r="AW52" i="92"/>
  <c r="AX52" i="92"/>
  <c r="AY51" i="92"/>
  <c r="AT51" i="92"/>
  <c r="AV51" i="92"/>
  <c r="AW51" i="92"/>
  <c r="AX51" i="92"/>
  <c r="AY50" i="92"/>
  <c r="AT50" i="92"/>
  <c r="AV50" i="92"/>
  <c r="AW50" i="92"/>
  <c r="AX50" i="92"/>
  <c r="AY49" i="92"/>
  <c r="AT49" i="92"/>
  <c r="AV49" i="92"/>
  <c r="AW49" i="92"/>
  <c r="AX49" i="92"/>
  <c r="AY48" i="92"/>
  <c r="AT48" i="92"/>
  <c r="AV48" i="92"/>
  <c r="AW48" i="92"/>
  <c r="AX48" i="92"/>
  <c r="AY47" i="92"/>
  <c r="AT47" i="92"/>
  <c r="AV47" i="92"/>
  <c r="AW47" i="92"/>
  <c r="AX47" i="92"/>
  <c r="AY46" i="92"/>
  <c r="AT46" i="92"/>
  <c r="AV46" i="92"/>
  <c r="AW46" i="92"/>
  <c r="AX46" i="92"/>
  <c r="AY45" i="92"/>
  <c r="AT45" i="92"/>
  <c r="AV45" i="92"/>
  <c r="AW45" i="92"/>
  <c r="AX45" i="92"/>
  <c r="AY44" i="92"/>
  <c r="AT44" i="92"/>
  <c r="AV44" i="92"/>
  <c r="AW44" i="92"/>
  <c r="AX44" i="92"/>
  <c r="AY43" i="92"/>
  <c r="AT43" i="92"/>
  <c r="AV43" i="92"/>
  <c r="AW43" i="92"/>
  <c r="AX43" i="92"/>
  <c r="AY42" i="92"/>
  <c r="AT42" i="92"/>
  <c r="AV42" i="92"/>
  <c r="AW42" i="92"/>
  <c r="AX42" i="92"/>
  <c r="AY41" i="92"/>
  <c r="AT41" i="92"/>
  <c r="AV41" i="92"/>
  <c r="AW41" i="92"/>
  <c r="AX41" i="92"/>
  <c r="AY40" i="92"/>
  <c r="AT40" i="92"/>
  <c r="AV40" i="92"/>
  <c r="AW40" i="92"/>
  <c r="AX40" i="92"/>
  <c r="AY39" i="92"/>
  <c r="AT39" i="92"/>
  <c r="AV39" i="92"/>
  <c r="AW39" i="92"/>
  <c r="AX39" i="92"/>
  <c r="AY38" i="92"/>
  <c r="AT38" i="92"/>
  <c r="AV38" i="92"/>
  <c r="AW38" i="92"/>
  <c r="AX38" i="92"/>
  <c r="AY37" i="92"/>
  <c r="AT37" i="92"/>
  <c r="AV37" i="92"/>
  <c r="AW37" i="92"/>
  <c r="AX37" i="92"/>
  <c r="AY36" i="92"/>
  <c r="AT36" i="92"/>
  <c r="AV36" i="92"/>
  <c r="AW36" i="92"/>
  <c r="AX36" i="92"/>
  <c r="AY35" i="92"/>
  <c r="AT35" i="92"/>
  <c r="AV35" i="92"/>
  <c r="AW35" i="92"/>
  <c r="AX35" i="92"/>
  <c r="W35" i="92"/>
  <c r="AY34" i="92"/>
  <c r="AT34" i="92"/>
  <c r="AV34" i="92"/>
  <c r="AW34" i="92"/>
  <c r="AX34" i="92"/>
  <c r="AY33" i="92"/>
  <c r="AT33" i="92"/>
  <c r="AV33" i="92"/>
  <c r="AW33" i="92"/>
  <c r="AX33" i="92"/>
  <c r="W33" i="92"/>
  <c r="AY32" i="92"/>
  <c r="AT32" i="92"/>
  <c r="AV32" i="92"/>
  <c r="AW32" i="92"/>
  <c r="AX32" i="92"/>
  <c r="W32" i="92"/>
  <c r="AY31" i="92"/>
  <c r="AT31" i="92"/>
  <c r="AV31" i="92"/>
  <c r="AW31" i="92"/>
  <c r="AX31" i="92"/>
  <c r="W31" i="92"/>
  <c r="AY30" i="92"/>
  <c r="AT30" i="92"/>
  <c r="AV30" i="92"/>
  <c r="AW30" i="92"/>
  <c r="AX30" i="92"/>
  <c r="G30" i="92"/>
  <c r="AY29" i="92"/>
  <c r="AT29" i="92"/>
  <c r="AV29" i="92"/>
  <c r="AW29" i="92"/>
  <c r="AX29" i="92"/>
  <c r="S29" i="92"/>
  <c r="W29" i="92"/>
  <c r="G29" i="92"/>
  <c r="AY28" i="92"/>
  <c r="AT28" i="92"/>
  <c r="AV28" i="92"/>
  <c r="AW28" i="92"/>
  <c r="AX28" i="92"/>
  <c r="W28" i="92"/>
  <c r="AY27" i="92"/>
  <c r="AT27" i="92"/>
  <c r="AV27" i="92"/>
  <c r="AW27" i="92"/>
  <c r="AX27" i="92"/>
  <c r="W27" i="92"/>
  <c r="AY26" i="92"/>
  <c r="AT26" i="92"/>
  <c r="AV26" i="92"/>
  <c r="AW26" i="92"/>
  <c r="AX26" i="92"/>
  <c r="W26" i="92"/>
  <c r="AY25" i="92"/>
  <c r="AT25" i="92"/>
  <c r="AV25" i="92"/>
  <c r="AW25" i="92"/>
  <c r="AX25" i="92"/>
  <c r="W21" i="92"/>
  <c r="V21" i="92"/>
  <c r="T21" i="92"/>
  <c r="S21" i="92"/>
  <c r="V20" i="92"/>
  <c r="T20" i="92"/>
  <c r="S20" i="92"/>
  <c r="V18" i="92"/>
  <c r="T18" i="92"/>
  <c r="S18" i="92"/>
  <c r="V17" i="92"/>
  <c r="T17" i="92"/>
  <c r="S17" i="92"/>
  <c r="U11" i="92"/>
  <c r="AE7" i="92"/>
  <c r="AE8" i="92"/>
  <c r="AE6" i="92"/>
  <c r="BB5" i="92"/>
  <c r="AY111" i="91"/>
  <c r="AT111" i="91"/>
  <c r="AV111" i="91"/>
  <c r="AW111" i="91"/>
  <c r="AX111" i="91"/>
  <c r="AY110" i="91"/>
  <c r="AT110" i="91"/>
  <c r="AV110" i="91"/>
  <c r="AW110" i="91"/>
  <c r="AX110" i="91"/>
  <c r="AY109" i="91"/>
  <c r="AT109" i="91"/>
  <c r="AV109" i="91"/>
  <c r="AW109" i="91"/>
  <c r="AX109" i="91"/>
  <c r="AY108" i="91"/>
  <c r="AT108" i="91"/>
  <c r="AV108" i="91"/>
  <c r="AW108" i="91"/>
  <c r="AX108" i="91"/>
  <c r="AY107" i="91"/>
  <c r="AT107" i="91"/>
  <c r="AV107" i="91"/>
  <c r="AW107" i="91"/>
  <c r="AX107" i="91"/>
  <c r="AY106" i="91"/>
  <c r="AT106" i="91"/>
  <c r="AV106" i="91"/>
  <c r="AW106" i="91"/>
  <c r="AX106" i="91"/>
  <c r="AY105" i="91"/>
  <c r="AT105" i="91"/>
  <c r="AV105" i="91"/>
  <c r="AW105" i="91"/>
  <c r="AX105" i="91"/>
  <c r="AY104" i="91"/>
  <c r="AT104" i="91"/>
  <c r="AV104" i="91"/>
  <c r="AW104" i="91"/>
  <c r="AX104" i="91"/>
  <c r="AY103" i="91"/>
  <c r="AT103" i="91"/>
  <c r="AV103" i="91"/>
  <c r="AW103" i="91"/>
  <c r="AX103" i="91"/>
  <c r="AY102" i="91"/>
  <c r="AT102" i="91"/>
  <c r="AV102" i="91"/>
  <c r="AW102" i="91"/>
  <c r="AX102" i="91"/>
  <c r="AY101" i="91"/>
  <c r="AT101" i="91"/>
  <c r="AV101" i="91"/>
  <c r="AW101" i="91"/>
  <c r="AX101" i="91"/>
  <c r="AY100" i="91"/>
  <c r="AT100" i="91"/>
  <c r="AV100" i="91"/>
  <c r="AW100" i="91"/>
  <c r="AX100" i="91"/>
  <c r="AY99" i="91"/>
  <c r="AT99" i="91"/>
  <c r="AV99" i="91"/>
  <c r="AW99" i="91"/>
  <c r="AX99" i="91"/>
  <c r="AY98" i="91"/>
  <c r="AT98" i="91"/>
  <c r="AV98" i="91"/>
  <c r="AW98" i="91"/>
  <c r="AX98" i="91"/>
  <c r="AY97" i="91"/>
  <c r="AT97" i="91"/>
  <c r="AV97" i="91"/>
  <c r="AW97" i="91"/>
  <c r="AX97" i="91"/>
  <c r="AY96" i="91"/>
  <c r="AT96" i="91"/>
  <c r="AV96" i="91"/>
  <c r="AW96" i="91"/>
  <c r="AX96" i="91"/>
  <c r="AY95" i="91"/>
  <c r="AT95" i="91"/>
  <c r="AV95" i="91"/>
  <c r="AW95" i="91"/>
  <c r="AX95" i="91"/>
  <c r="AY94" i="91"/>
  <c r="AT94" i="91"/>
  <c r="AV94" i="91"/>
  <c r="AW94" i="91"/>
  <c r="AX94" i="91"/>
  <c r="AY93" i="91"/>
  <c r="AT93" i="91"/>
  <c r="AV93" i="91"/>
  <c r="AW93" i="91"/>
  <c r="AX93" i="91"/>
  <c r="AY92" i="91"/>
  <c r="AT92" i="91"/>
  <c r="AV92" i="91"/>
  <c r="AW92" i="91"/>
  <c r="AX92" i="91"/>
  <c r="AY91" i="91"/>
  <c r="AT91" i="91"/>
  <c r="AV91" i="91"/>
  <c r="AW91" i="91"/>
  <c r="AX91" i="91"/>
  <c r="AY90" i="91"/>
  <c r="AT90" i="91"/>
  <c r="AV90" i="91"/>
  <c r="AW90" i="91"/>
  <c r="AX90" i="91"/>
  <c r="AY89" i="91"/>
  <c r="AT89" i="91"/>
  <c r="AV89" i="91"/>
  <c r="AW89" i="91"/>
  <c r="AX89" i="91"/>
  <c r="AY88" i="91"/>
  <c r="AT88" i="91"/>
  <c r="AV88" i="91"/>
  <c r="AW88" i="91"/>
  <c r="AX88" i="91"/>
  <c r="AY87" i="91"/>
  <c r="AT87" i="91"/>
  <c r="AV87" i="91"/>
  <c r="AW87" i="91"/>
  <c r="AX87" i="91"/>
  <c r="AY86" i="91"/>
  <c r="AT86" i="91"/>
  <c r="AV86" i="91"/>
  <c r="AW86" i="91"/>
  <c r="AX86" i="91"/>
  <c r="AY85" i="91"/>
  <c r="AT85" i="91"/>
  <c r="AV85" i="91"/>
  <c r="AW85" i="91"/>
  <c r="AX85" i="91"/>
  <c r="AY84" i="91"/>
  <c r="AT84" i="91"/>
  <c r="AV84" i="91"/>
  <c r="AW84" i="91"/>
  <c r="AX84" i="91"/>
  <c r="AY83" i="91"/>
  <c r="AT83" i="91"/>
  <c r="AV83" i="91"/>
  <c r="AW83" i="91"/>
  <c r="AX83" i="91"/>
  <c r="AY82" i="91"/>
  <c r="AT82" i="91"/>
  <c r="AV82" i="91"/>
  <c r="AW82" i="91"/>
  <c r="AX82" i="91"/>
  <c r="AY81" i="91"/>
  <c r="AT81" i="91"/>
  <c r="AV81" i="91"/>
  <c r="AW81" i="91"/>
  <c r="AX81" i="91"/>
  <c r="AY80" i="91"/>
  <c r="AT80" i="91"/>
  <c r="AV80" i="91"/>
  <c r="AW80" i="91"/>
  <c r="AX80" i="91"/>
  <c r="AY79" i="91"/>
  <c r="AT79" i="91"/>
  <c r="AV79" i="91"/>
  <c r="AW79" i="91"/>
  <c r="AX79" i="91"/>
  <c r="AY78" i="91"/>
  <c r="AT78" i="91"/>
  <c r="AV78" i="91"/>
  <c r="AW78" i="91"/>
  <c r="AX78" i="91"/>
  <c r="AY77" i="91"/>
  <c r="AT77" i="91"/>
  <c r="AV77" i="91"/>
  <c r="AW77" i="91"/>
  <c r="AX77" i="91"/>
  <c r="AY76" i="91"/>
  <c r="AT76" i="91"/>
  <c r="AV76" i="91"/>
  <c r="AW76" i="91"/>
  <c r="AX76" i="91"/>
  <c r="AY75" i="91"/>
  <c r="AT75" i="91"/>
  <c r="AV75" i="91"/>
  <c r="AW75" i="91"/>
  <c r="AX75" i="91"/>
  <c r="AY74" i="91"/>
  <c r="AT74" i="91"/>
  <c r="AV74" i="91"/>
  <c r="AW74" i="91"/>
  <c r="AX74" i="91"/>
  <c r="AY73" i="91"/>
  <c r="AT73" i="91"/>
  <c r="AV73" i="91"/>
  <c r="AW73" i="91"/>
  <c r="AX73" i="91"/>
  <c r="AY72" i="91"/>
  <c r="AT72" i="91"/>
  <c r="AV72" i="91"/>
  <c r="AW72" i="91"/>
  <c r="AX72" i="91"/>
  <c r="AY71" i="91"/>
  <c r="AT71" i="91"/>
  <c r="AV71" i="91"/>
  <c r="AW71" i="91"/>
  <c r="AX71" i="91"/>
  <c r="AY70" i="91"/>
  <c r="AT70" i="91"/>
  <c r="AV70" i="91"/>
  <c r="AW70" i="91"/>
  <c r="AX70" i="91"/>
  <c r="AY69" i="91"/>
  <c r="AT69" i="91"/>
  <c r="AV69" i="91"/>
  <c r="AW69" i="91"/>
  <c r="AX69" i="91"/>
  <c r="AY68" i="91"/>
  <c r="AT68" i="91"/>
  <c r="AV68" i="91"/>
  <c r="AW68" i="91"/>
  <c r="AX68" i="91"/>
  <c r="AY67" i="91"/>
  <c r="AT67" i="91"/>
  <c r="AV67" i="91"/>
  <c r="AW67" i="91"/>
  <c r="AX67" i="91"/>
  <c r="AY66" i="91"/>
  <c r="AT66" i="91"/>
  <c r="AV66" i="91"/>
  <c r="AW66" i="91"/>
  <c r="AX66" i="91"/>
  <c r="AY65" i="91"/>
  <c r="AT65" i="91"/>
  <c r="AV65" i="91"/>
  <c r="AW65" i="91"/>
  <c r="AX65" i="91"/>
  <c r="AY64" i="91"/>
  <c r="AT64" i="91"/>
  <c r="AV64" i="91"/>
  <c r="AW64" i="91"/>
  <c r="AX64" i="91"/>
  <c r="AY63" i="91"/>
  <c r="AT63" i="91"/>
  <c r="AV63" i="91"/>
  <c r="AW63" i="91"/>
  <c r="AX63" i="91"/>
  <c r="AY62" i="91"/>
  <c r="AT62" i="91"/>
  <c r="AV62" i="91"/>
  <c r="AW62" i="91"/>
  <c r="AX62" i="91"/>
  <c r="AY61" i="91"/>
  <c r="AT61" i="91"/>
  <c r="AV61" i="91"/>
  <c r="AW61" i="91"/>
  <c r="AX61" i="91"/>
  <c r="AY60" i="91"/>
  <c r="AT60" i="91"/>
  <c r="AV60" i="91"/>
  <c r="AW60" i="91"/>
  <c r="AX60" i="91"/>
  <c r="AY59" i="91"/>
  <c r="AT59" i="91"/>
  <c r="AV59" i="91"/>
  <c r="AW59" i="91"/>
  <c r="AX59" i="91"/>
  <c r="AY58" i="91"/>
  <c r="AT58" i="91"/>
  <c r="AV58" i="91"/>
  <c r="AW58" i="91"/>
  <c r="AX58" i="91"/>
  <c r="AY57" i="91"/>
  <c r="AT57" i="91"/>
  <c r="AV57" i="91"/>
  <c r="AW57" i="91"/>
  <c r="AX57" i="91"/>
  <c r="AY56" i="91"/>
  <c r="AT56" i="91"/>
  <c r="AV56" i="91"/>
  <c r="AW56" i="91"/>
  <c r="AX56" i="91"/>
  <c r="AY55" i="91"/>
  <c r="AT55" i="91"/>
  <c r="AV55" i="91"/>
  <c r="AW55" i="91"/>
  <c r="AX55" i="91"/>
  <c r="AY54" i="91"/>
  <c r="AT54" i="91"/>
  <c r="AV54" i="91"/>
  <c r="AW54" i="91"/>
  <c r="AX54" i="91"/>
  <c r="AY53" i="91"/>
  <c r="AT53" i="91"/>
  <c r="AV53" i="91"/>
  <c r="AW53" i="91"/>
  <c r="AX53" i="91"/>
  <c r="AY52" i="91"/>
  <c r="AT52" i="91"/>
  <c r="AV52" i="91"/>
  <c r="AW52" i="91"/>
  <c r="AX52" i="91"/>
  <c r="AY51" i="91"/>
  <c r="AT51" i="91"/>
  <c r="AV51" i="91"/>
  <c r="AW51" i="91"/>
  <c r="AX51" i="91"/>
  <c r="AY50" i="91"/>
  <c r="AT50" i="91"/>
  <c r="AV50" i="91"/>
  <c r="AW50" i="91"/>
  <c r="AX50" i="91"/>
  <c r="AY49" i="91"/>
  <c r="AT49" i="91"/>
  <c r="AV49" i="91"/>
  <c r="AW49" i="91"/>
  <c r="AX49" i="91"/>
  <c r="AY48" i="91"/>
  <c r="AT48" i="91"/>
  <c r="AV48" i="91"/>
  <c r="AW48" i="91"/>
  <c r="AX48" i="91"/>
  <c r="AY47" i="91"/>
  <c r="AT47" i="91"/>
  <c r="AV47" i="91"/>
  <c r="AW47" i="91"/>
  <c r="AX47" i="91"/>
  <c r="AY46" i="91"/>
  <c r="AT46" i="91"/>
  <c r="AV46" i="91"/>
  <c r="AW46" i="91"/>
  <c r="AX46" i="91"/>
  <c r="AY45" i="91"/>
  <c r="AT45" i="91"/>
  <c r="AV45" i="91"/>
  <c r="AW45" i="91"/>
  <c r="AX45" i="91"/>
  <c r="AY44" i="91"/>
  <c r="AT44" i="91"/>
  <c r="AV44" i="91"/>
  <c r="AW44" i="91"/>
  <c r="AX44" i="91"/>
  <c r="AY43" i="91"/>
  <c r="AT43" i="91"/>
  <c r="AV43" i="91"/>
  <c r="AW43" i="91"/>
  <c r="AX43" i="91"/>
  <c r="AY42" i="91"/>
  <c r="AT42" i="91"/>
  <c r="AV42" i="91"/>
  <c r="AW42" i="91"/>
  <c r="AX42" i="91"/>
  <c r="AY41" i="91"/>
  <c r="AT41" i="91"/>
  <c r="AV41" i="91"/>
  <c r="AW41" i="91"/>
  <c r="AX41" i="91"/>
  <c r="AY40" i="91"/>
  <c r="AT40" i="91"/>
  <c r="AV40" i="91"/>
  <c r="AW40" i="91"/>
  <c r="AX40" i="91"/>
  <c r="AY39" i="91"/>
  <c r="AT39" i="91"/>
  <c r="AV39" i="91"/>
  <c r="AW39" i="91"/>
  <c r="AX39" i="91"/>
  <c r="AY38" i="91"/>
  <c r="AT38" i="91"/>
  <c r="AV38" i="91"/>
  <c r="AW38" i="91"/>
  <c r="AX38" i="91"/>
  <c r="AY37" i="91"/>
  <c r="AT37" i="91"/>
  <c r="AV37" i="91"/>
  <c r="AW37" i="91"/>
  <c r="AX37" i="91"/>
  <c r="AY36" i="91"/>
  <c r="AT36" i="91"/>
  <c r="AV36" i="91"/>
  <c r="AW36" i="91"/>
  <c r="AX36" i="91"/>
  <c r="AY35" i="91"/>
  <c r="AT35" i="91"/>
  <c r="AV35" i="91"/>
  <c r="AW35" i="91"/>
  <c r="AX35" i="91"/>
  <c r="W35" i="91"/>
  <c r="AY34" i="91"/>
  <c r="AT34" i="91"/>
  <c r="AV34" i="91"/>
  <c r="AW34" i="91"/>
  <c r="AX34" i="91"/>
  <c r="AY33" i="91"/>
  <c r="AT33" i="91"/>
  <c r="AV33" i="91"/>
  <c r="AW33" i="91"/>
  <c r="AX33" i="91"/>
  <c r="W33" i="91"/>
  <c r="AY32" i="91"/>
  <c r="AT32" i="91"/>
  <c r="AV32" i="91"/>
  <c r="AW32" i="91"/>
  <c r="AX32" i="91"/>
  <c r="W32" i="91"/>
  <c r="AY31" i="91"/>
  <c r="AT31" i="91"/>
  <c r="AV31" i="91"/>
  <c r="AW31" i="91"/>
  <c r="AX31" i="91"/>
  <c r="W31" i="91"/>
  <c r="AY30" i="91"/>
  <c r="AT30" i="91"/>
  <c r="AV30" i="91"/>
  <c r="AW30" i="91"/>
  <c r="AX30" i="91"/>
  <c r="G30" i="91"/>
  <c r="AY29" i="91"/>
  <c r="AT29" i="91"/>
  <c r="AV29" i="91"/>
  <c r="AW29" i="91"/>
  <c r="AX29" i="91"/>
  <c r="S29" i="91"/>
  <c r="W29" i="91"/>
  <c r="G29" i="91"/>
  <c r="AY28" i="91"/>
  <c r="AT28" i="91"/>
  <c r="AV28" i="91"/>
  <c r="AW28" i="91"/>
  <c r="AX28" i="91"/>
  <c r="W28" i="91"/>
  <c r="AY27" i="91"/>
  <c r="AT27" i="91"/>
  <c r="AV27" i="91"/>
  <c r="AW27" i="91"/>
  <c r="AX27" i="91"/>
  <c r="W27" i="91"/>
  <c r="AY26" i="91"/>
  <c r="AT26" i="91"/>
  <c r="AV26" i="91"/>
  <c r="AW26" i="91"/>
  <c r="AX26" i="91"/>
  <c r="W26" i="91"/>
  <c r="AY25" i="91"/>
  <c r="AT25" i="91"/>
  <c r="AV25" i="91"/>
  <c r="AW25" i="91"/>
  <c r="AX25" i="91"/>
  <c r="W21" i="91"/>
  <c r="V21" i="91"/>
  <c r="T21" i="91"/>
  <c r="S21" i="91"/>
  <c r="V20" i="91"/>
  <c r="T20" i="91"/>
  <c r="S20" i="91"/>
  <c r="V18" i="91"/>
  <c r="T18" i="91"/>
  <c r="S18" i="91"/>
  <c r="V17" i="91"/>
  <c r="T17" i="91"/>
  <c r="S17" i="91"/>
  <c r="U11" i="91"/>
  <c r="AE7" i="91"/>
  <c r="AE8" i="91"/>
  <c r="AE6" i="91"/>
  <c r="BB5" i="91"/>
  <c r="AY111" i="90"/>
  <c r="AT111" i="90"/>
  <c r="AV111" i="90"/>
  <c r="AW111" i="90"/>
  <c r="AX111" i="90"/>
  <c r="AY110" i="90"/>
  <c r="AT110" i="90"/>
  <c r="AV110" i="90"/>
  <c r="AW110" i="90"/>
  <c r="AX110" i="90"/>
  <c r="AY109" i="90"/>
  <c r="AT109" i="90"/>
  <c r="AV109" i="90"/>
  <c r="AW109" i="90"/>
  <c r="AX109" i="90"/>
  <c r="AY108" i="90"/>
  <c r="AT108" i="90"/>
  <c r="AV108" i="90"/>
  <c r="AW108" i="90"/>
  <c r="AX108" i="90"/>
  <c r="AY107" i="90"/>
  <c r="AT107" i="90"/>
  <c r="AV107" i="90"/>
  <c r="AW107" i="90"/>
  <c r="AX107" i="90"/>
  <c r="AY106" i="90"/>
  <c r="AT106" i="90"/>
  <c r="AV106" i="90"/>
  <c r="AW106" i="90"/>
  <c r="AX106" i="90"/>
  <c r="AY105" i="90"/>
  <c r="AT105" i="90"/>
  <c r="AV105" i="90"/>
  <c r="AW105" i="90"/>
  <c r="AX105" i="90"/>
  <c r="AY104" i="90"/>
  <c r="AT104" i="90"/>
  <c r="AV104" i="90"/>
  <c r="AW104" i="90"/>
  <c r="AX104" i="90"/>
  <c r="AY103" i="90"/>
  <c r="AT103" i="90"/>
  <c r="AV103" i="90"/>
  <c r="AW103" i="90"/>
  <c r="AX103" i="90"/>
  <c r="AY102" i="90"/>
  <c r="AT102" i="90"/>
  <c r="AV102" i="90"/>
  <c r="AW102" i="90"/>
  <c r="AX102" i="90"/>
  <c r="AY101" i="90"/>
  <c r="AT101" i="90"/>
  <c r="AV101" i="90"/>
  <c r="AW101" i="90"/>
  <c r="AX101" i="90"/>
  <c r="AY100" i="90"/>
  <c r="AT100" i="90"/>
  <c r="AV100" i="90"/>
  <c r="AW100" i="90"/>
  <c r="AX100" i="90"/>
  <c r="AY99" i="90"/>
  <c r="AT99" i="90"/>
  <c r="AV99" i="90"/>
  <c r="AW99" i="90"/>
  <c r="AX99" i="90"/>
  <c r="AY98" i="90"/>
  <c r="AT98" i="90"/>
  <c r="AV98" i="90"/>
  <c r="AW98" i="90"/>
  <c r="AX98" i="90"/>
  <c r="AY97" i="90"/>
  <c r="AT97" i="90"/>
  <c r="AV97" i="90"/>
  <c r="AW97" i="90"/>
  <c r="AX97" i="90"/>
  <c r="AY96" i="90"/>
  <c r="AT96" i="90"/>
  <c r="AV96" i="90"/>
  <c r="AW96" i="90"/>
  <c r="AX96" i="90"/>
  <c r="AY95" i="90"/>
  <c r="AT95" i="90"/>
  <c r="AV95" i="90"/>
  <c r="AW95" i="90"/>
  <c r="AX95" i="90"/>
  <c r="AY94" i="90"/>
  <c r="AT94" i="90"/>
  <c r="AV94" i="90"/>
  <c r="AW94" i="90"/>
  <c r="AX94" i="90"/>
  <c r="AY93" i="90"/>
  <c r="AT93" i="90"/>
  <c r="AV93" i="90"/>
  <c r="AW93" i="90"/>
  <c r="AX93" i="90"/>
  <c r="AY92" i="90"/>
  <c r="AT92" i="90"/>
  <c r="AV92" i="90"/>
  <c r="AW92" i="90"/>
  <c r="AX92" i="90"/>
  <c r="AY91" i="90"/>
  <c r="AT91" i="90"/>
  <c r="AV91" i="90"/>
  <c r="AW91" i="90"/>
  <c r="AX91" i="90"/>
  <c r="AY90" i="90"/>
  <c r="AT90" i="90"/>
  <c r="AV90" i="90"/>
  <c r="AW90" i="90"/>
  <c r="AX90" i="90"/>
  <c r="AY89" i="90"/>
  <c r="AT89" i="90"/>
  <c r="AV89" i="90"/>
  <c r="AW89" i="90"/>
  <c r="AX89" i="90"/>
  <c r="AY88" i="90"/>
  <c r="AT88" i="90"/>
  <c r="AV88" i="90"/>
  <c r="AW88" i="90"/>
  <c r="AX88" i="90"/>
  <c r="AY87" i="90"/>
  <c r="AT87" i="90"/>
  <c r="AV87" i="90"/>
  <c r="AW87" i="90"/>
  <c r="AX87" i="90"/>
  <c r="AY86" i="90"/>
  <c r="AT86" i="90"/>
  <c r="AV86" i="90"/>
  <c r="AW86" i="90"/>
  <c r="AX86" i="90"/>
  <c r="AY85" i="90"/>
  <c r="AT85" i="90"/>
  <c r="AV85" i="90"/>
  <c r="AW85" i="90"/>
  <c r="AX85" i="90"/>
  <c r="AY84" i="90"/>
  <c r="AT84" i="90"/>
  <c r="AV84" i="90"/>
  <c r="AW84" i="90"/>
  <c r="AX84" i="90"/>
  <c r="AY83" i="90"/>
  <c r="AT83" i="90"/>
  <c r="AV83" i="90"/>
  <c r="AW83" i="90"/>
  <c r="AX83" i="90"/>
  <c r="AY82" i="90"/>
  <c r="AT82" i="90"/>
  <c r="AV82" i="90"/>
  <c r="AW82" i="90"/>
  <c r="AX82" i="90"/>
  <c r="AY81" i="90"/>
  <c r="AT81" i="90"/>
  <c r="AV81" i="90"/>
  <c r="AW81" i="90"/>
  <c r="AX81" i="90"/>
  <c r="AY80" i="90"/>
  <c r="AT80" i="90"/>
  <c r="AV80" i="90"/>
  <c r="AW80" i="90"/>
  <c r="AX80" i="90"/>
  <c r="AY79" i="90"/>
  <c r="AT79" i="90"/>
  <c r="AV79" i="90"/>
  <c r="AW79" i="90"/>
  <c r="AX79" i="90"/>
  <c r="AY78" i="90"/>
  <c r="AT78" i="90"/>
  <c r="AV78" i="90"/>
  <c r="AW78" i="90"/>
  <c r="AX78" i="90"/>
  <c r="AY77" i="90"/>
  <c r="AT77" i="90"/>
  <c r="AV77" i="90"/>
  <c r="AW77" i="90"/>
  <c r="AX77" i="90"/>
  <c r="AY76" i="90"/>
  <c r="AT76" i="90"/>
  <c r="AV76" i="90"/>
  <c r="AW76" i="90"/>
  <c r="AX76" i="90"/>
  <c r="AY75" i="90"/>
  <c r="AT75" i="90"/>
  <c r="AV75" i="90"/>
  <c r="AW75" i="90"/>
  <c r="AX75" i="90"/>
  <c r="AY74" i="90"/>
  <c r="AT74" i="90"/>
  <c r="AV74" i="90"/>
  <c r="AW74" i="90"/>
  <c r="AX74" i="90"/>
  <c r="AY73" i="90"/>
  <c r="AT73" i="90"/>
  <c r="AV73" i="90"/>
  <c r="AW73" i="90"/>
  <c r="AX73" i="90"/>
  <c r="AY72" i="90"/>
  <c r="AT72" i="90"/>
  <c r="AV72" i="90"/>
  <c r="AW72" i="90"/>
  <c r="AX72" i="90"/>
  <c r="AY71" i="90"/>
  <c r="AT71" i="90"/>
  <c r="AV71" i="90"/>
  <c r="AW71" i="90"/>
  <c r="AX71" i="90"/>
  <c r="AY70" i="90"/>
  <c r="AT70" i="90"/>
  <c r="AV70" i="90"/>
  <c r="AW70" i="90"/>
  <c r="AX70" i="90"/>
  <c r="AY69" i="90"/>
  <c r="AT69" i="90"/>
  <c r="AV69" i="90"/>
  <c r="AW69" i="90"/>
  <c r="AX69" i="90"/>
  <c r="AY68" i="90"/>
  <c r="AT68" i="90"/>
  <c r="AV68" i="90"/>
  <c r="AW68" i="90"/>
  <c r="AX68" i="90"/>
  <c r="AY67" i="90"/>
  <c r="AT67" i="90"/>
  <c r="AV67" i="90"/>
  <c r="AW67" i="90"/>
  <c r="AX67" i="90"/>
  <c r="AY66" i="90"/>
  <c r="AT66" i="90"/>
  <c r="AV66" i="90"/>
  <c r="AW66" i="90"/>
  <c r="AX66" i="90"/>
  <c r="AY65" i="90"/>
  <c r="AT65" i="90"/>
  <c r="AV65" i="90"/>
  <c r="AW65" i="90"/>
  <c r="AX65" i="90"/>
  <c r="AY64" i="90"/>
  <c r="AT64" i="90"/>
  <c r="AV64" i="90"/>
  <c r="AW64" i="90"/>
  <c r="AX64" i="90"/>
  <c r="AY63" i="90"/>
  <c r="AT63" i="90"/>
  <c r="AV63" i="90"/>
  <c r="AW63" i="90"/>
  <c r="AX63" i="90"/>
  <c r="AY62" i="90"/>
  <c r="AT62" i="90"/>
  <c r="AV62" i="90"/>
  <c r="AW62" i="90"/>
  <c r="AX62" i="90"/>
  <c r="AY61" i="90"/>
  <c r="AT61" i="90"/>
  <c r="AV61" i="90"/>
  <c r="AW61" i="90"/>
  <c r="AX61" i="90"/>
  <c r="AY60" i="90"/>
  <c r="AT60" i="90"/>
  <c r="AV60" i="90"/>
  <c r="AW60" i="90"/>
  <c r="AX60" i="90"/>
  <c r="AY59" i="90"/>
  <c r="AT59" i="90"/>
  <c r="AV59" i="90"/>
  <c r="AW59" i="90"/>
  <c r="AX59" i="90"/>
  <c r="AY58" i="90"/>
  <c r="AT58" i="90"/>
  <c r="AV58" i="90"/>
  <c r="AW58" i="90"/>
  <c r="AX58" i="90"/>
  <c r="AY57" i="90"/>
  <c r="AT57" i="90"/>
  <c r="AV57" i="90"/>
  <c r="AW57" i="90"/>
  <c r="AX57" i="90"/>
  <c r="AY56" i="90"/>
  <c r="AT56" i="90"/>
  <c r="AV56" i="90"/>
  <c r="AW56" i="90"/>
  <c r="AX56" i="90"/>
  <c r="AY55" i="90"/>
  <c r="AT55" i="90"/>
  <c r="AV55" i="90"/>
  <c r="AW55" i="90"/>
  <c r="AX55" i="90"/>
  <c r="AY54" i="90"/>
  <c r="AT54" i="90"/>
  <c r="AV54" i="90"/>
  <c r="AW54" i="90"/>
  <c r="AX54" i="90"/>
  <c r="AY53" i="90"/>
  <c r="AT53" i="90"/>
  <c r="AV53" i="90"/>
  <c r="AW53" i="90"/>
  <c r="AX53" i="90"/>
  <c r="AY52" i="90"/>
  <c r="AT52" i="90"/>
  <c r="AV52" i="90"/>
  <c r="AW52" i="90"/>
  <c r="AX52" i="90"/>
  <c r="AY51" i="90"/>
  <c r="AT51" i="90"/>
  <c r="AV51" i="90"/>
  <c r="AW51" i="90"/>
  <c r="AX51" i="90"/>
  <c r="AY50" i="90"/>
  <c r="AT50" i="90"/>
  <c r="AV50" i="90"/>
  <c r="AW50" i="90"/>
  <c r="AX50" i="90"/>
  <c r="AY49" i="90"/>
  <c r="AT49" i="90"/>
  <c r="AV49" i="90"/>
  <c r="AW49" i="90"/>
  <c r="AX49" i="90"/>
  <c r="AY48" i="90"/>
  <c r="AT48" i="90"/>
  <c r="AV48" i="90"/>
  <c r="AW48" i="90"/>
  <c r="AX48" i="90"/>
  <c r="AY47" i="90"/>
  <c r="AT47" i="90"/>
  <c r="AV47" i="90"/>
  <c r="AW47" i="90"/>
  <c r="AX47" i="90"/>
  <c r="AY46" i="90"/>
  <c r="AT46" i="90"/>
  <c r="AV46" i="90"/>
  <c r="AW46" i="90"/>
  <c r="AX46" i="90"/>
  <c r="AY45" i="90"/>
  <c r="AT45" i="90"/>
  <c r="AV45" i="90"/>
  <c r="AW45" i="90"/>
  <c r="AX45" i="90"/>
  <c r="AY44" i="90"/>
  <c r="AT44" i="90"/>
  <c r="AV44" i="90"/>
  <c r="AW44" i="90"/>
  <c r="AX44" i="90"/>
  <c r="AY43" i="90"/>
  <c r="AT43" i="90"/>
  <c r="AV43" i="90"/>
  <c r="AW43" i="90"/>
  <c r="AX43" i="90"/>
  <c r="AY42" i="90"/>
  <c r="AT42" i="90"/>
  <c r="AV42" i="90"/>
  <c r="AW42" i="90"/>
  <c r="AX42" i="90"/>
  <c r="AY41" i="90"/>
  <c r="AT41" i="90"/>
  <c r="AV41" i="90"/>
  <c r="AW41" i="90"/>
  <c r="AX41" i="90"/>
  <c r="AY40" i="90"/>
  <c r="AT40" i="90"/>
  <c r="AV40" i="90"/>
  <c r="AW40" i="90"/>
  <c r="AX40" i="90"/>
  <c r="AY39" i="90"/>
  <c r="AT39" i="90"/>
  <c r="AV39" i="90"/>
  <c r="AW39" i="90"/>
  <c r="AX39" i="90"/>
  <c r="AY38" i="90"/>
  <c r="AT38" i="90"/>
  <c r="AV38" i="90"/>
  <c r="AW38" i="90"/>
  <c r="AX38" i="90"/>
  <c r="AY37" i="90"/>
  <c r="AT37" i="90"/>
  <c r="AV37" i="90"/>
  <c r="AW37" i="90"/>
  <c r="AX37" i="90"/>
  <c r="AY36" i="90"/>
  <c r="AT36" i="90"/>
  <c r="AV36" i="90"/>
  <c r="AW36" i="90"/>
  <c r="AX36" i="90"/>
  <c r="AY35" i="90"/>
  <c r="AT35" i="90"/>
  <c r="AV35" i="90"/>
  <c r="AW35" i="90"/>
  <c r="AX35" i="90"/>
  <c r="W35" i="90"/>
  <c r="AY34" i="90"/>
  <c r="AT34" i="90"/>
  <c r="AV34" i="90"/>
  <c r="AW34" i="90"/>
  <c r="AX34" i="90"/>
  <c r="AY33" i="90"/>
  <c r="AT33" i="90"/>
  <c r="AV33" i="90"/>
  <c r="AW33" i="90"/>
  <c r="AX33" i="90"/>
  <c r="W33" i="90"/>
  <c r="AY32" i="90"/>
  <c r="AT32" i="90"/>
  <c r="AV32" i="90"/>
  <c r="AW32" i="90"/>
  <c r="AX32" i="90"/>
  <c r="W32" i="90"/>
  <c r="AY31" i="90"/>
  <c r="AT31" i="90"/>
  <c r="AV31" i="90"/>
  <c r="AW31" i="90"/>
  <c r="AX31" i="90"/>
  <c r="W31" i="90"/>
  <c r="AY30" i="90"/>
  <c r="AT30" i="90"/>
  <c r="AV30" i="90"/>
  <c r="AW30" i="90"/>
  <c r="AX30" i="90"/>
  <c r="G30" i="90"/>
  <c r="AY29" i="90"/>
  <c r="AT29" i="90"/>
  <c r="AV29" i="90"/>
  <c r="AW29" i="90"/>
  <c r="AX29" i="90"/>
  <c r="S29" i="90"/>
  <c r="W29" i="90"/>
  <c r="G29" i="90"/>
  <c r="AY28" i="90"/>
  <c r="AT28" i="90"/>
  <c r="AV28" i="90"/>
  <c r="AW28" i="90"/>
  <c r="AX28" i="90"/>
  <c r="W28" i="90"/>
  <c r="AY27" i="90"/>
  <c r="AT27" i="90"/>
  <c r="AV27" i="90"/>
  <c r="AW27" i="90"/>
  <c r="AX27" i="90"/>
  <c r="W27" i="90"/>
  <c r="AY26" i="90"/>
  <c r="AT26" i="90"/>
  <c r="AV26" i="90"/>
  <c r="AW26" i="90"/>
  <c r="AX26" i="90"/>
  <c r="W26" i="90"/>
  <c r="AY25" i="90"/>
  <c r="AT25" i="90"/>
  <c r="AV25" i="90"/>
  <c r="AW25" i="90"/>
  <c r="AX25" i="90"/>
  <c r="W21" i="90"/>
  <c r="V21" i="90"/>
  <c r="T21" i="90"/>
  <c r="S21" i="90"/>
  <c r="V20" i="90"/>
  <c r="T20" i="90"/>
  <c r="S20" i="90"/>
  <c r="V18" i="90"/>
  <c r="T18" i="90"/>
  <c r="S18" i="90"/>
  <c r="V17" i="90"/>
  <c r="T17" i="90"/>
  <c r="S17" i="90"/>
  <c r="U11" i="90"/>
  <c r="AE7" i="90"/>
  <c r="AE8" i="90"/>
  <c r="AE6" i="90"/>
  <c r="BB5" i="90"/>
  <c r="AY111" i="89"/>
  <c r="AT111" i="89"/>
  <c r="AV111" i="89"/>
  <c r="AW111" i="89"/>
  <c r="AX111" i="89"/>
  <c r="AY110" i="89"/>
  <c r="AT110" i="89"/>
  <c r="AV110" i="89"/>
  <c r="AW110" i="89"/>
  <c r="AX110" i="89"/>
  <c r="AY109" i="89"/>
  <c r="AT109" i="89"/>
  <c r="AV109" i="89"/>
  <c r="AW109" i="89"/>
  <c r="AX109" i="89"/>
  <c r="AY108" i="89"/>
  <c r="AT108" i="89"/>
  <c r="AV108" i="89"/>
  <c r="AW108" i="89"/>
  <c r="AX108" i="89"/>
  <c r="AY107" i="89"/>
  <c r="AT107" i="89"/>
  <c r="AV107" i="89"/>
  <c r="AW107" i="89"/>
  <c r="AX107" i="89"/>
  <c r="AY106" i="89"/>
  <c r="AT106" i="89"/>
  <c r="AV106" i="89"/>
  <c r="AW106" i="89"/>
  <c r="AX106" i="89"/>
  <c r="AY105" i="89"/>
  <c r="AT105" i="89"/>
  <c r="AV105" i="89"/>
  <c r="AW105" i="89"/>
  <c r="AX105" i="89"/>
  <c r="AY104" i="89"/>
  <c r="AT104" i="89"/>
  <c r="AV104" i="89"/>
  <c r="AW104" i="89"/>
  <c r="AX104" i="89"/>
  <c r="AY103" i="89"/>
  <c r="AT103" i="89"/>
  <c r="AV103" i="89"/>
  <c r="AW103" i="89"/>
  <c r="AX103" i="89"/>
  <c r="AY102" i="89"/>
  <c r="AT102" i="89"/>
  <c r="AV102" i="89"/>
  <c r="AW102" i="89"/>
  <c r="AX102" i="89"/>
  <c r="AY101" i="89"/>
  <c r="AT101" i="89"/>
  <c r="AV101" i="89"/>
  <c r="AW101" i="89"/>
  <c r="AX101" i="89"/>
  <c r="AY100" i="89"/>
  <c r="AT100" i="89"/>
  <c r="AV100" i="89"/>
  <c r="AW100" i="89"/>
  <c r="AX100" i="89"/>
  <c r="AY99" i="89"/>
  <c r="AT99" i="89"/>
  <c r="AV99" i="89"/>
  <c r="AW99" i="89"/>
  <c r="AX99" i="89"/>
  <c r="AY98" i="89"/>
  <c r="AT98" i="89"/>
  <c r="AV98" i="89"/>
  <c r="AW98" i="89"/>
  <c r="AX98" i="89"/>
  <c r="AY97" i="89"/>
  <c r="AT97" i="89"/>
  <c r="AV97" i="89"/>
  <c r="AW97" i="89"/>
  <c r="AX97" i="89"/>
  <c r="AY96" i="89"/>
  <c r="AT96" i="89"/>
  <c r="AV96" i="89"/>
  <c r="AW96" i="89"/>
  <c r="AX96" i="89"/>
  <c r="AY95" i="89"/>
  <c r="AT95" i="89"/>
  <c r="AV95" i="89"/>
  <c r="AW95" i="89"/>
  <c r="AX95" i="89"/>
  <c r="AY94" i="89"/>
  <c r="AT94" i="89"/>
  <c r="AV94" i="89"/>
  <c r="AW94" i="89"/>
  <c r="AX94" i="89"/>
  <c r="AY93" i="89"/>
  <c r="AT93" i="89"/>
  <c r="AV93" i="89"/>
  <c r="AW93" i="89"/>
  <c r="AX93" i="89"/>
  <c r="AY92" i="89"/>
  <c r="AT92" i="89"/>
  <c r="AV92" i="89"/>
  <c r="AW92" i="89"/>
  <c r="AX92" i="89"/>
  <c r="AY91" i="89"/>
  <c r="AT91" i="89"/>
  <c r="AV91" i="89"/>
  <c r="AW91" i="89"/>
  <c r="AX91" i="89"/>
  <c r="AY90" i="89"/>
  <c r="AT90" i="89"/>
  <c r="AV90" i="89"/>
  <c r="AW90" i="89"/>
  <c r="AX90" i="89"/>
  <c r="AY89" i="89"/>
  <c r="AT89" i="89"/>
  <c r="AV89" i="89"/>
  <c r="AW89" i="89"/>
  <c r="AX89" i="89"/>
  <c r="AY88" i="89"/>
  <c r="AT88" i="89"/>
  <c r="AV88" i="89"/>
  <c r="AW88" i="89"/>
  <c r="AX88" i="89"/>
  <c r="AY87" i="89"/>
  <c r="AT87" i="89"/>
  <c r="AV87" i="89"/>
  <c r="AW87" i="89"/>
  <c r="AX87" i="89"/>
  <c r="AY86" i="89"/>
  <c r="AT86" i="89"/>
  <c r="AV86" i="89"/>
  <c r="AW86" i="89"/>
  <c r="AX86" i="89"/>
  <c r="AY85" i="89"/>
  <c r="AT85" i="89"/>
  <c r="AV85" i="89"/>
  <c r="AW85" i="89"/>
  <c r="AX85" i="89"/>
  <c r="AY84" i="89"/>
  <c r="AT84" i="89"/>
  <c r="AV84" i="89"/>
  <c r="AW84" i="89"/>
  <c r="AX84" i="89"/>
  <c r="AY83" i="89"/>
  <c r="AT83" i="89"/>
  <c r="AV83" i="89"/>
  <c r="AW83" i="89"/>
  <c r="AX83" i="89"/>
  <c r="AY82" i="89"/>
  <c r="AT82" i="89"/>
  <c r="AV82" i="89"/>
  <c r="AW82" i="89"/>
  <c r="AX82" i="89"/>
  <c r="AY81" i="89"/>
  <c r="AT81" i="89"/>
  <c r="AV81" i="89"/>
  <c r="AW81" i="89"/>
  <c r="AX81" i="89"/>
  <c r="AY80" i="89"/>
  <c r="AT80" i="89"/>
  <c r="AV80" i="89"/>
  <c r="AW80" i="89"/>
  <c r="AX80" i="89"/>
  <c r="AY79" i="89"/>
  <c r="AT79" i="89"/>
  <c r="AV79" i="89"/>
  <c r="AW79" i="89"/>
  <c r="AX79" i="89"/>
  <c r="AY78" i="89"/>
  <c r="AT78" i="89"/>
  <c r="AV78" i="89"/>
  <c r="AW78" i="89"/>
  <c r="AX78" i="89"/>
  <c r="AY77" i="89"/>
  <c r="AT77" i="89"/>
  <c r="AV77" i="89"/>
  <c r="AW77" i="89"/>
  <c r="AX77" i="89"/>
  <c r="AY76" i="89"/>
  <c r="AT76" i="89"/>
  <c r="AV76" i="89"/>
  <c r="AW76" i="89"/>
  <c r="AX76" i="89"/>
  <c r="AY75" i="89"/>
  <c r="AT75" i="89"/>
  <c r="AV75" i="89"/>
  <c r="AW75" i="89"/>
  <c r="AX75" i="89"/>
  <c r="AY74" i="89"/>
  <c r="AT74" i="89"/>
  <c r="AV74" i="89"/>
  <c r="AW74" i="89"/>
  <c r="AX74" i="89"/>
  <c r="AY73" i="89"/>
  <c r="AT73" i="89"/>
  <c r="AV73" i="89"/>
  <c r="AW73" i="89"/>
  <c r="AX73" i="89"/>
  <c r="AY72" i="89"/>
  <c r="AT72" i="89"/>
  <c r="AV72" i="89"/>
  <c r="AW72" i="89"/>
  <c r="AX72" i="89"/>
  <c r="AY71" i="89"/>
  <c r="AT71" i="89"/>
  <c r="AV71" i="89"/>
  <c r="AW71" i="89"/>
  <c r="AX71" i="89"/>
  <c r="AY70" i="89"/>
  <c r="AT70" i="89"/>
  <c r="AV70" i="89"/>
  <c r="AW70" i="89"/>
  <c r="AX70" i="89"/>
  <c r="AY69" i="89"/>
  <c r="AT69" i="89"/>
  <c r="AV69" i="89"/>
  <c r="AW69" i="89"/>
  <c r="AX69" i="89"/>
  <c r="AY68" i="89"/>
  <c r="AT68" i="89"/>
  <c r="AV68" i="89"/>
  <c r="AW68" i="89"/>
  <c r="AX68" i="89"/>
  <c r="AY67" i="89"/>
  <c r="AT67" i="89"/>
  <c r="AV67" i="89"/>
  <c r="AW67" i="89"/>
  <c r="AX67" i="89"/>
  <c r="AY66" i="89"/>
  <c r="AT66" i="89"/>
  <c r="AV66" i="89"/>
  <c r="AW66" i="89"/>
  <c r="AX66" i="89"/>
  <c r="AY65" i="89"/>
  <c r="AT65" i="89"/>
  <c r="AV65" i="89"/>
  <c r="AW65" i="89"/>
  <c r="AX65" i="89"/>
  <c r="AY64" i="89"/>
  <c r="AT64" i="89"/>
  <c r="AV64" i="89"/>
  <c r="AW64" i="89"/>
  <c r="AX64" i="89"/>
  <c r="AY63" i="89"/>
  <c r="AT63" i="89"/>
  <c r="AV63" i="89"/>
  <c r="AW63" i="89"/>
  <c r="AX63" i="89"/>
  <c r="AY62" i="89"/>
  <c r="AT62" i="89"/>
  <c r="AV62" i="89"/>
  <c r="AW62" i="89"/>
  <c r="AX62" i="89"/>
  <c r="AY61" i="89"/>
  <c r="AT61" i="89"/>
  <c r="AV61" i="89"/>
  <c r="AW61" i="89"/>
  <c r="AX61" i="89"/>
  <c r="AY60" i="89"/>
  <c r="AT60" i="89"/>
  <c r="AV60" i="89"/>
  <c r="AW60" i="89"/>
  <c r="AX60" i="89"/>
  <c r="AY59" i="89"/>
  <c r="AT59" i="89"/>
  <c r="AV59" i="89"/>
  <c r="AW59" i="89"/>
  <c r="AX59" i="89"/>
  <c r="AY58" i="89"/>
  <c r="AT58" i="89"/>
  <c r="AV58" i="89"/>
  <c r="AW58" i="89"/>
  <c r="AX58" i="89"/>
  <c r="AY57" i="89"/>
  <c r="AT57" i="89"/>
  <c r="AV57" i="89"/>
  <c r="AW57" i="89"/>
  <c r="AX57" i="89"/>
  <c r="AY56" i="89"/>
  <c r="AT56" i="89"/>
  <c r="AV56" i="89"/>
  <c r="AW56" i="89"/>
  <c r="AX56" i="89"/>
  <c r="AY55" i="89"/>
  <c r="AT55" i="89"/>
  <c r="AV55" i="89"/>
  <c r="AW55" i="89"/>
  <c r="AX55" i="89"/>
  <c r="AY54" i="89"/>
  <c r="AT54" i="89"/>
  <c r="AV54" i="89"/>
  <c r="AW54" i="89"/>
  <c r="AX54" i="89"/>
  <c r="AY53" i="89"/>
  <c r="AT53" i="89"/>
  <c r="AV53" i="89"/>
  <c r="AW53" i="89"/>
  <c r="AX53" i="89"/>
  <c r="AY52" i="89"/>
  <c r="AT52" i="89"/>
  <c r="AV52" i="89"/>
  <c r="AW52" i="89"/>
  <c r="AX52" i="89"/>
  <c r="AY51" i="89"/>
  <c r="AT51" i="89"/>
  <c r="AV51" i="89"/>
  <c r="AW51" i="89"/>
  <c r="AX51" i="89"/>
  <c r="AY50" i="89"/>
  <c r="AT50" i="89"/>
  <c r="AV50" i="89"/>
  <c r="AW50" i="89"/>
  <c r="AX50" i="89"/>
  <c r="AY49" i="89"/>
  <c r="AT49" i="89"/>
  <c r="AV49" i="89"/>
  <c r="AW49" i="89"/>
  <c r="AX49" i="89"/>
  <c r="AY48" i="89"/>
  <c r="AT48" i="89"/>
  <c r="AV48" i="89"/>
  <c r="AW48" i="89"/>
  <c r="AX48" i="89"/>
  <c r="AY47" i="89"/>
  <c r="AT47" i="89"/>
  <c r="AV47" i="89"/>
  <c r="AW47" i="89"/>
  <c r="AX47" i="89"/>
  <c r="AY46" i="89"/>
  <c r="AT46" i="89"/>
  <c r="AV46" i="89"/>
  <c r="AW46" i="89"/>
  <c r="AX46" i="89"/>
  <c r="AY45" i="89"/>
  <c r="AT45" i="89"/>
  <c r="AV45" i="89"/>
  <c r="AW45" i="89"/>
  <c r="AX45" i="89"/>
  <c r="AY44" i="89"/>
  <c r="AT44" i="89"/>
  <c r="AV44" i="89"/>
  <c r="AW44" i="89"/>
  <c r="AX44" i="89"/>
  <c r="AY43" i="89"/>
  <c r="AT43" i="89"/>
  <c r="AV43" i="89"/>
  <c r="AW43" i="89"/>
  <c r="AX43" i="89"/>
  <c r="AY42" i="89"/>
  <c r="AT42" i="89"/>
  <c r="AV42" i="89"/>
  <c r="AW42" i="89"/>
  <c r="AX42" i="89"/>
  <c r="AY41" i="89"/>
  <c r="AT41" i="89"/>
  <c r="AV41" i="89"/>
  <c r="AW41" i="89"/>
  <c r="AX41" i="89"/>
  <c r="AY40" i="89"/>
  <c r="AT40" i="89"/>
  <c r="AV40" i="89"/>
  <c r="AW40" i="89"/>
  <c r="AX40" i="89"/>
  <c r="AY39" i="89"/>
  <c r="AT39" i="89"/>
  <c r="AV39" i="89"/>
  <c r="AW39" i="89"/>
  <c r="AX39" i="89"/>
  <c r="AY38" i="89"/>
  <c r="AT38" i="89"/>
  <c r="AV38" i="89"/>
  <c r="AW38" i="89"/>
  <c r="AX38" i="89"/>
  <c r="AY37" i="89"/>
  <c r="AT37" i="89"/>
  <c r="AV37" i="89"/>
  <c r="AW37" i="89"/>
  <c r="AX37" i="89"/>
  <c r="AY36" i="89"/>
  <c r="AT36" i="89"/>
  <c r="AV36" i="89"/>
  <c r="AW36" i="89"/>
  <c r="AX36" i="89"/>
  <c r="AY35" i="89"/>
  <c r="AT35" i="89"/>
  <c r="AV35" i="89"/>
  <c r="AW35" i="89"/>
  <c r="AX35" i="89"/>
  <c r="W35" i="89"/>
  <c r="AY34" i="89"/>
  <c r="AT34" i="89"/>
  <c r="AV34" i="89"/>
  <c r="AW34" i="89"/>
  <c r="AX34" i="89"/>
  <c r="AY33" i="89"/>
  <c r="AT33" i="89"/>
  <c r="AV33" i="89"/>
  <c r="AW33" i="89"/>
  <c r="AX33" i="89"/>
  <c r="W33" i="89"/>
  <c r="AY32" i="89"/>
  <c r="AT32" i="89"/>
  <c r="AV32" i="89"/>
  <c r="AW32" i="89"/>
  <c r="AX32" i="89"/>
  <c r="W32" i="89"/>
  <c r="AY31" i="89"/>
  <c r="AT31" i="89"/>
  <c r="AV31" i="89"/>
  <c r="AW31" i="89"/>
  <c r="AX31" i="89"/>
  <c r="W31" i="89"/>
  <c r="AY30" i="89"/>
  <c r="AT30" i="89"/>
  <c r="AV30" i="89"/>
  <c r="AW30" i="89"/>
  <c r="AX30" i="89"/>
  <c r="G30" i="89"/>
  <c r="AY29" i="89"/>
  <c r="AT29" i="89"/>
  <c r="AV29" i="89"/>
  <c r="AW29" i="89"/>
  <c r="AX29" i="89"/>
  <c r="S29" i="89"/>
  <c r="W29" i="89"/>
  <c r="G29" i="89"/>
  <c r="AY28" i="89"/>
  <c r="AT28" i="89"/>
  <c r="AV28" i="89"/>
  <c r="AW28" i="89"/>
  <c r="AX28" i="89"/>
  <c r="W28" i="89"/>
  <c r="AY27" i="89"/>
  <c r="AT27" i="89"/>
  <c r="AV27" i="89"/>
  <c r="AW27" i="89"/>
  <c r="AX27" i="89"/>
  <c r="W27" i="89"/>
  <c r="AY26" i="89"/>
  <c r="AT26" i="89"/>
  <c r="AV26" i="89"/>
  <c r="AW26" i="89"/>
  <c r="AX26" i="89"/>
  <c r="W26" i="89"/>
  <c r="AY25" i="89"/>
  <c r="AT25" i="89"/>
  <c r="AV25" i="89"/>
  <c r="AW25" i="89"/>
  <c r="AX25" i="89"/>
  <c r="AY24" i="89"/>
  <c r="AT24" i="89"/>
  <c r="AV24" i="89"/>
  <c r="AW24" i="89"/>
  <c r="AX24" i="89"/>
  <c r="AY23" i="89"/>
  <c r="AT23" i="89"/>
  <c r="AV23" i="89"/>
  <c r="AW23" i="89"/>
  <c r="AX23" i="89"/>
  <c r="AY22" i="89"/>
  <c r="AT22" i="89"/>
  <c r="AV22" i="89"/>
  <c r="AW22" i="89"/>
  <c r="AX22" i="89"/>
  <c r="AY21" i="89"/>
  <c r="AT21" i="89"/>
  <c r="AV21" i="89"/>
  <c r="AW21" i="89"/>
  <c r="AX21" i="89"/>
  <c r="W21" i="89"/>
  <c r="V21" i="89"/>
  <c r="T21" i="89"/>
  <c r="S21" i="89"/>
  <c r="AY20" i="89"/>
  <c r="AT20" i="89"/>
  <c r="AV20" i="89"/>
  <c r="AW20" i="89"/>
  <c r="AX20" i="89"/>
  <c r="V20" i="89"/>
  <c r="T20" i="89"/>
  <c r="S20" i="89"/>
  <c r="V18" i="89"/>
  <c r="T18" i="89"/>
  <c r="S18" i="89"/>
  <c r="V17" i="89"/>
  <c r="T17" i="89"/>
  <c r="S17" i="89"/>
  <c r="U11" i="89"/>
  <c r="AE7" i="89"/>
  <c r="AE8" i="89"/>
  <c r="AE6" i="89"/>
  <c r="BB5" i="89"/>
  <c r="AY111" i="88"/>
  <c r="AT111" i="88"/>
  <c r="AV111" i="88"/>
  <c r="AW111" i="88"/>
  <c r="AX111" i="88"/>
  <c r="AY110" i="88"/>
  <c r="AT110" i="88"/>
  <c r="AV110" i="88"/>
  <c r="AW110" i="88"/>
  <c r="AX110" i="88"/>
  <c r="AY109" i="88"/>
  <c r="AT109" i="88"/>
  <c r="AV109" i="88"/>
  <c r="AW109" i="88"/>
  <c r="AX109" i="88"/>
  <c r="AY108" i="88"/>
  <c r="AT108" i="88"/>
  <c r="AV108" i="88"/>
  <c r="AW108" i="88"/>
  <c r="AX108" i="88"/>
  <c r="AY107" i="88"/>
  <c r="AT107" i="88"/>
  <c r="AV107" i="88"/>
  <c r="AW107" i="88"/>
  <c r="AX107" i="88"/>
  <c r="AY106" i="88"/>
  <c r="AT106" i="88"/>
  <c r="AV106" i="88"/>
  <c r="AW106" i="88"/>
  <c r="AX106" i="88"/>
  <c r="AY105" i="88"/>
  <c r="AT105" i="88"/>
  <c r="AV105" i="88"/>
  <c r="AW105" i="88"/>
  <c r="AX105" i="88"/>
  <c r="AY104" i="88"/>
  <c r="AT104" i="88"/>
  <c r="AV104" i="88"/>
  <c r="AW104" i="88"/>
  <c r="AX104" i="88"/>
  <c r="AY103" i="88"/>
  <c r="AT103" i="88"/>
  <c r="AV103" i="88"/>
  <c r="AW103" i="88"/>
  <c r="AX103" i="88"/>
  <c r="AY102" i="88"/>
  <c r="AT102" i="88"/>
  <c r="AV102" i="88"/>
  <c r="AW102" i="88"/>
  <c r="AX102" i="88"/>
  <c r="AY101" i="88"/>
  <c r="AT101" i="88"/>
  <c r="AV101" i="88"/>
  <c r="AW101" i="88"/>
  <c r="AX101" i="88"/>
  <c r="AY100" i="88"/>
  <c r="AT100" i="88"/>
  <c r="AV100" i="88"/>
  <c r="AW100" i="88"/>
  <c r="AX100" i="88"/>
  <c r="AY99" i="88"/>
  <c r="AT99" i="88"/>
  <c r="AV99" i="88"/>
  <c r="AW99" i="88"/>
  <c r="AX99" i="88"/>
  <c r="AY98" i="88"/>
  <c r="AT98" i="88"/>
  <c r="AV98" i="88"/>
  <c r="AW98" i="88"/>
  <c r="AX98" i="88"/>
  <c r="AY97" i="88"/>
  <c r="AT97" i="88"/>
  <c r="AV97" i="88"/>
  <c r="AW97" i="88"/>
  <c r="AX97" i="88"/>
  <c r="AY96" i="88"/>
  <c r="AT96" i="88"/>
  <c r="AV96" i="88"/>
  <c r="AW96" i="88"/>
  <c r="AX96" i="88"/>
  <c r="AY95" i="88"/>
  <c r="AT95" i="88"/>
  <c r="AV95" i="88"/>
  <c r="AW95" i="88"/>
  <c r="AX95" i="88"/>
  <c r="AY94" i="88"/>
  <c r="AT94" i="88"/>
  <c r="AV94" i="88"/>
  <c r="AW94" i="88"/>
  <c r="AX94" i="88"/>
  <c r="AY93" i="88"/>
  <c r="AT93" i="88"/>
  <c r="AV93" i="88"/>
  <c r="AW93" i="88"/>
  <c r="AX93" i="88"/>
  <c r="AY92" i="88"/>
  <c r="AT92" i="88"/>
  <c r="AV92" i="88"/>
  <c r="AW92" i="88"/>
  <c r="AX92" i="88"/>
  <c r="AY91" i="88"/>
  <c r="AT91" i="88"/>
  <c r="AV91" i="88"/>
  <c r="AW91" i="88"/>
  <c r="AX91" i="88"/>
  <c r="AY90" i="88"/>
  <c r="AT90" i="88"/>
  <c r="AV90" i="88"/>
  <c r="AW90" i="88"/>
  <c r="AX90" i="88"/>
  <c r="AY89" i="88"/>
  <c r="AT89" i="88"/>
  <c r="AV89" i="88"/>
  <c r="AW89" i="88"/>
  <c r="AX89" i="88"/>
  <c r="AY88" i="88"/>
  <c r="AT88" i="88"/>
  <c r="AV88" i="88"/>
  <c r="AW88" i="88"/>
  <c r="AX88" i="88"/>
  <c r="AY87" i="88"/>
  <c r="AT87" i="88"/>
  <c r="AV87" i="88"/>
  <c r="AW87" i="88"/>
  <c r="AX87" i="88"/>
  <c r="AY86" i="88"/>
  <c r="AT86" i="88"/>
  <c r="AV86" i="88"/>
  <c r="AW86" i="88"/>
  <c r="AX86" i="88"/>
  <c r="AY85" i="88"/>
  <c r="AT85" i="88"/>
  <c r="AV85" i="88"/>
  <c r="AW85" i="88"/>
  <c r="AX85" i="88"/>
  <c r="AY84" i="88"/>
  <c r="AT84" i="88"/>
  <c r="AV84" i="88"/>
  <c r="AW84" i="88"/>
  <c r="AX84" i="88"/>
  <c r="AY83" i="88"/>
  <c r="AT83" i="88"/>
  <c r="AV83" i="88"/>
  <c r="AW83" i="88"/>
  <c r="AX83" i="88"/>
  <c r="AY82" i="88"/>
  <c r="AT82" i="88"/>
  <c r="AV82" i="88"/>
  <c r="AW82" i="88"/>
  <c r="AX82" i="88"/>
  <c r="AY81" i="88"/>
  <c r="AT81" i="88"/>
  <c r="AV81" i="88"/>
  <c r="AW81" i="88"/>
  <c r="AX81" i="88"/>
  <c r="AY80" i="88"/>
  <c r="AT80" i="88"/>
  <c r="AV80" i="88"/>
  <c r="AW80" i="88"/>
  <c r="AX80" i="88"/>
  <c r="AY79" i="88"/>
  <c r="AT79" i="88"/>
  <c r="AV79" i="88"/>
  <c r="AW79" i="88"/>
  <c r="AX79" i="88"/>
  <c r="AY78" i="88"/>
  <c r="AT78" i="88"/>
  <c r="AV78" i="88"/>
  <c r="AW78" i="88"/>
  <c r="AX78" i="88"/>
  <c r="AY77" i="88"/>
  <c r="AT77" i="88"/>
  <c r="AV77" i="88"/>
  <c r="AW77" i="88"/>
  <c r="AX77" i="88"/>
  <c r="AY76" i="88"/>
  <c r="AT76" i="88"/>
  <c r="AV76" i="88"/>
  <c r="AW76" i="88"/>
  <c r="AX76" i="88"/>
  <c r="AY75" i="88"/>
  <c r="AT75" i="88"/>
  <c r="AV75" i="88"/>
  <c r="AW75" i="88"/>
  <c r="AX75" i="88"/>
  <c r="AY74" i="88"/>
  <c r="AT74" i="88"/>
  <c r="AV74" i="88"/>
  <c r="AW74" i="88"/>
  <c r="AX74" i="88"/>
  <c r="AY73" i="88"/>
  <c r="AT73" i="88"/>
  <c r="AV73" i="88"/>
  <c r="AW73" i="88"/>
  <c r="AX73" i="88"/>
  <c r="AY72" i="88"/>
  <c r="AT72" i="88"/>
  <c r="AV72" i="88"/>
  <c r="AW72" i="88"/>
  <c r="AX72" i="88"/>
  <c r="AY71" i="88"/>
  <c r="AT71" i="88"/>
  <c r="AV71" i="88"/>
  <c r="AW71" i="88"/>
  <c r="AX71" i="88"/>
  <c r="AY70" i="88"/>
  <c r="AT70" i="88"/>
  <c r="AV70" i="88"/>
  <c r="AW70" i="88"/>
  <c r="AX70" i="88"/>
  <c r="AY69" i="88"/>
  <c r="AT69" i="88"/>
  <c r="AV69" i="88"/>
  <c r="AW69" i="88"/>
  <c r="AX69" i="88"/>
  <c r="AY68" i="88"/>
  <c r="AT68" i="88"/>
  <c r="AV68" i="88"/>
  <c r="AW68" i="88"/>
  <c r="AX68" i="88"/>
  <c r="AY67" i="88"/>
  <c r="AT67" i="88"/>
  <c r="AV67" i="88"/>
  <c r="AW67" i="88"/>
  <c r="AX67" i="88"/>
  <c r="AY66" i="88"/>
  <c r="AT66" i="88"/>
  <c r="AV66" i="88"/>
  <c r="AW66" i="88"/>
  <c r="AX66" i="88"/>
  <c r="AY65" i="88"/>
  <c r="AT65" i="88"/>
  <c r="AV65" i="88"/>
  <c r="AW65" i="88"/>
  <c r="AX65" i="88"/>
  <c r="AY64" i="88"/>
  <c r="AT64" i="88"/>
  <c r="AV64" i="88"/>
  <c r="AW64" i="88"/>
  <c r="AX64" i="88"/>
  <c r="AY63" i="88"/>
  <c r="AT63" i="88"/>
  <c r="AV63" i="88"/>
  <c r="AW63" i="88"/>
  <c r="AX63" i="88"/>
  <c r="AY62" i="88"/>
  <c r="AT62" i="88"/>
  <c r="AV62" i="88"/>
  <c r="AW62" i="88"/>
  <c r="AX62" i="88"/>
  <c r="AY61" i="88"/>
  <c r="AT61" i="88"/>
  <c r="AV61" i="88"/>
  <c r="AW61" i="88"/>
  <c r="AX61" i="88"/>
  <c r="AY60" i="88"/>
  <c r="AT60" i="88"/>
  <c r="AV60" i="88"/>
  <c r="AW60" i="88"/>
  <c r="AX60" i="88"/>
  <c r="AY59" i="88"/>
  <c r="AT59" i="88"/>
  <c r="AV59" i="88"/>
  <c r="AW59" i="88"/>
  <c r="AX59" i="88"/>
  <c r="AY58" i="88"/>
  <c r="AT58" i="88"/>
  <c r="AV58" i="88"/>
  <c r="AW58" i="88"/>
  <c r="AX58" i="88"/>
  <c r="AY57" i="88"/>
  <c r="AT57" i="88"/>
  <c r="AV57" i="88"/>
  <c r="AW57" i="88"/>
  <c r="AX57" i="88"/>
  <c r="AY56" i="88"/>
  <c r="AT56" i="88"/>
  <c r="AV56" i="88"/>
  <c r="AW56" i="88"/>
  <c r="AX56" i="88"/>
  <c r="AY55" i="88"/>
  <c r="AT55" i="88"/>
  <c r="AV55" i="88"/>
  <c r="AW55" i="88"/>
  <c r="AX55" i="88"/>
  <c r="AY54" i="88"/>
  <c r="AT54" i="88"/>
  <c r="AV54" i="88"/>
  <c r="AW54" i="88"/>
  <c r="AX54" i="88"/>
  <c r="AY53" i="88"/>
  <c r="AT53" i="88"/>
  <c r="AV53" i="88"/>
  <c r="AW53" i="88"/>
  <c r="AX53" i="88"/>
  <c r="AY52" i="88"/>
  <c r="AT52" i="88"/>
  <c r="AV52" i="88"/>
  <c r="AW52" i="88"/>
  <c r="AX52" i="88"/>
  <c r="AY51" i="88"/>
  <c r="AT51" i="88"/>
  <c r="AV51" i="88"/>
  <c r="AW51" i="88"/>
  <c r="AX51" i="88"/>
  <c r="AY50" i="88"/>
  <c r="AT50" i="88"/>
  <c r="AV50" i="88"/>
  <c r="AW50" i="88"/>
  <c r="AX50" i="88"/>
  <c r="AY49" i="88"/>
  <c r="AT49" i="88"/>
  <c r="AV49" i="88"/>
  <c r="AW49" i="88"/>
  <c r="AX49" i="88"/>
  <c r="AY48" i="88"/>
  <c r="AT48" i="88"/>
  <c r="AV48" i="88"/>
  <c r="AW48" i="88"/>
  <c r="AX48" i="88"/>
  <c r="AY47" i="88"/>
  <c r="AT47" i="88"/>
  <c r="AV47" i="88"/>
  <c r="AW47" i="88"/>
  <c r="AX47" i="88"/>
  <c r="AY46" i="88"/>
  <c r="AT46" i="88"/>
  <c r="AV46" i="88"/>
  <c r="AW46" i="88"/>
  <c r="AX46" i="88"/>
  <c r="AY45" i="88"/>
  <c r="AT45" i="88"/>
  <c r="AV45" i="88"/>
  <c r="AW45" i="88"/>
  <c r="AX45" i="88"/>
  <c r="AY44" i="88"/>
  <c r="AT44" i="88"/>
  <c r="AV44" i="88"/>
  <c r="AW44" i="88"/>
  <c r="AX44" i="88"/>
  <c r="AY43" i="88"/>
  <c r="AT43" i="88"/>
  <c r="AV43" i="88"/>
  <c r="AW43" i="88"/>
  <c r="AX43" i="88"/>
  <c r="AY42" i="88"/>
  <c r="AT42" i="88"/>
  <c r="AV42" i="88"/>
  <c r="AW42" i="88"/>
  <c r="AX42" i="88"/>
  <c r="AY41" i="88"/>
  <c r="AT41" i="88"/>
  <c r="AV41" i="88"/>
  <c r="AW41" i="88"/>
  <c r="AX41" i="88"/>
  <c r="AY40" i="88"/>
  <c r="AT40" i="88"/>
  <c r="AV40" i="88"/>
  <c r="AW40" i="88"/>
  <c r="AX40" i="88"/>
  <c r="AY39" i="88"/>
  <c r="AT39" i="88"/>
  <c r="AV39" i="88"/>
  <c r="AW39" i="88"/>
  <c r="AX39" i="88"/>
  <c r="AY38" i="88"/>
  <c r="AT38" i="88"/>
  <c r="AV38" i="88"/>
  <c r="AW38" i="88"/>
  <c r="AX38" i="88"/>
  <c r="AY37" i="88"/>
  <c r="AT37" i="88"/>
  <c r="AV37" i="88"/>
  <c r="AW37" i="88"/>
  <c r="AX37" i="88"/>
  <c r="AY36" i="88"/>
  <c r="AT36" i="88"/>
  <c r="AV36" i="88"/>
  <c r="AW36" i="88"/>
  <c r="AX36" i="88"/>
  <c r="AY35" i="88"/>
  <c r="AT35" i="88"/>
  <c r="AV35" i="88"/>
  <c r="AW35" i="88"/>
  <c r="AX35" i="88"/>
  <c r="W35" i="88"/>
  <c r="AY34" i="88"/>
  <c r="AT34" i="88"/>
  <c r="AV34" i="88"/>
  <c r="AW34" i="88"/>
  <c r="AX34" i="88"/>
  <c r="AY33" i="88"/>
  <c r="AT33" i="88"/>
  <c r="AV33" i="88"/>
  <c r="AW33" i="88"/>
  <c r="AX33" i="88"/>
  <c r="W33" i="88"/>
  <c r="AY32" i="88"/>
  <c r="AT32" i="88"/>
  <c r="AV32" i="88"/>
  <c r="AW32" i="88"/>
  <c r="AX32" i="88"/>
  <c r="W32" i="88"/>
  <c r="AY31" i="88"/>
  <c r="AT31" i="88"/>
  <c r="AV31" i="88"/>
  <c r="AW31" i="88"/>
  <c r="AX31" i="88"/>
  <c r="W31" i="88"/>
  <c r="AY30" i="88"/>
  <c r="AT30" i="88"/>
  <c r="AV30" i="88"/>
  <c r="AW30" i="88"/>
  <c r="AX30" i="88"/>
  <c r="G30" i="88"/>
  <c r="AY29" i="88"/>
  <c r="AT29" i="88"/>
  <c r="AV29" i="88"/>
  <c r="AW29" i="88"/>
  <c r="AX29" i="88"/>
  <c r="S29" i="88"/>
  <c r="W29" i="88"/>
  <c r="G29" i="88"/>
  <c r="AY28" i="88"/>
  <c r="AT28" i="88"/>
  <c r="AV28" i="88"/>
  <c r="AW28" i="88"/>
  <c r="AX28" i="88"/>
  <c r="W28" i="88"/>
  <c r="AY27" i="88"/>
  <c r="AT27" i="88"/>
  <c r="AV27" i="88"/>
  <c r="AW27" i="88"/>
  <c r="AX27" i="88"/>
  <c r="W27" i="88"/>
  <c r="AY26" i="88"/>
  <c r="AT26" i="88"/>
  <c r="AV26" i="88"/>
  <c r="AW26" i="88"/>
  <c r="AX26" i="88"/>
  <c r="W26" i="88"/>
  <c r="AY25" i="88"/>
  <c r="AT25" i="88"/>
  <c r="AV25" i="88"/>
  <c r="AW25" i="88"/>
  <c r="AX25" i="88"/>
  <c r="AY24" i="88"/>
  <c r="AT24" i="88"/>
  <c r="AV24" i="88"/>
  <c r="AW24" i="88"/>
  <c r="AX24" i="88"/>
  <c r="AY23" i="88"/>
  <c r="AT23" i="88"/>
  <c r="AV23" i="88"/>
  <c r="AW23" i="88"/>
  <c r="AX23" i="88"/>
  <c r="AY22" i="88"/>
  <c r="AT22" i="88"/>
  <c r="AV22" i="88"/>
  <c r="AW22" i="88"/>
  <c r="AX22" i="88"/>
  <c r="AY21" i="88"/>
  <c r="AT21" i="88"/>
  <c r="AV21" i="88"/>
  <c r="AW21" i="88"/>
  <c r="AX21" i="88"/>
  <c r="W21" i="88"/>
  <c r="V21" i="88"/>
  <c r="T21" i="88"/>
  <c r="S21" i="88"/>
  <c r="AY20" i="88"/>
  <c r="AT20" i="88"/>
  <c r="AV20" i="88"/>
  <c r="AW20" i="88"/>
  <c r="AX20" i="88"/>
  <c r="V20" i="88"/>
  <c r="T20" i="88"/>
  <c r="S20" i="88"/>
  <c r="V18" i="88"/>
  <c r="T18" i="88"/>
  <c r="S18" i="88"/>
  <c r="V17" i="88"/>
  <c r="T17" i="88"/>
  <c r="S17" i="88"/>
  <c r="U11" i="88"/>
  <c r="AE7" i="88"/>
  <c r="AE8" i="88"/>
  <c r="AE6" i="88"/>
  <c r="BB5" i="88"/>
  <c r="AY111" i="87"/>
  <c r="AT111" i="87"/>
  <c r="AV111" i="87"/>
  <c r="AW111" i="87"/>
  <c r="AX111" i="87"/>
  <c r="AY110" i="87"/>
  <c r="AT110" i="87"/>
  <c r="AV110" i="87"/>
  <c r="AW110" i="87"/>
  <c r="AX110" i="87"/>
  <c r="AY109" i="87"/>
  <c r="AT109" i="87"/>
  <c r="AV109" i="87"/>
  <c r="AW109" i="87"/>
  <c r="AX109" i="87"/>
  <c r="AY108" i="87"/>
  <c r="AT108" i="87"/>
  <c r="AV108" i="87"/>
  <c r="AW108" i="87"/>
  <c r="AX108" i="87"/>
  <c r="AY107" i="87"/>
  <c r="AT107" i="87"/>
  <c r="AV107" i="87"/>
  <c r="AW107" i="87"/>
  <c r="AX107" i="87"/>
  <c r="AY106" i="87"/>
  <c r="AT106" i="87"/>
  <c r="AV106" i="87"/>
  <c r="AW106" i="87"/>
  <c r="AX106" i="87"/>
  <c r="AY105" i="87"/>
  <c r="AT105" i="87"/>
  <c r="AV105" i="87"/>
  <c r="AW105" i="87"/>
  <c r="AX105" i="87"/>
  <c r="AY104" i="87"/>
  <c r="AT104" i="87"/>
  <c r="AV104" i="87"/>
  <c r="AW104" i="87"/>
  <c r="AX104" i="87"/>
  <c r="AY103" i="87"/>
  <c r="AT103" i="87"/>
  <c r="AV103" i="87"/>
  <c r="AW103" i="87"/>
  <c r="AX103" i="87"/>
  <c r="AY102" i="87"/>
  <c r="AT102" i="87"/>
  <c r="AV102" i="87"/>
  <c r="AW102" i="87"/>
  <c r="AX102" i="87"/>
  <c r="AY101" i="87"/>
  <c r="AT101" i="87"/>
  <c r="AV101" i="87"/>
  <c r="AW101" i="87"/>
  <c r="AX101" i="87"/>
  <c r="AY100" i="87"/>
  <c r="AT100" i="87"/>
  <c r="AV100" i="87"/>
  <c r="AW100" i="87"/>
  <c r="AX100" i="87"/>
  <c r="AY99" i="87"/>
  <c r="AT99" i="87"/>
  <c r="AV99" i="87"/>
  <c r="AW99" i="87"/>
  <c r="AX99" i="87"/>
  <c r="AY98" i="87"/>
  <c r="AT98" i="87"/>
  <c r="AV98" i="87"/>
  <c r="AW98" i="87"/>
  <c r="AX98" i="87"/>
  <c r="AY97" i="87"/>
  <c r="AT97" i="87"/>
  <c r="AV97" i="87"/>
  <c r="AW97" i="87"/>
  <c r="AX97" i="87"/>
  <c r="AY96" i="87"/>
  <c r="AT96" i="87"/>
  <c r="AV96" i="87"/>
  <c r="AW96" i="87"/>
  <c r="AX96" i="87"/>
  <c r="AY95" i="87"/>
  <c r="AT95" i="87"/>
  <c r="AV95" i="87"/>
  <c r="AW95" i="87"/>
  <c r="AX95" i="87"/>
  <c r="AY94" i="87"/>
  <c r="AT94" i="87"/>
  <c r="AV94" i="87"/>
  <c r="AW94" i="87"/>
  <c r="AX94" i="87"/>
  <c r="AY93" i="87"/>
  <c r="AT93" i="87"/>
  <c r="AV93" i="87"/>
  <c r="AW93" i="87"/>
  <c r="AX93" i="87"/>
  <c r="AY92" i="87"/>
  <c r="AT92" i="87"/>
  <c r="AV92" i="87"/>
  <c r="AW92" i="87"/>
  <c r="AX92" i="87"/>
  <c r="AY91" i="87"/>
  <c r="AT91" i="87"/>
  <c r="AV91" i="87"/>
  <c r="AW91" i="87"/>
  <c r="AX91" i="87"/>
  <c r="AY90" i="87"/>
  <c r="AT90" i="87"/>
  <c r="AV90" i="87"/>
  <c r="AW90" i="87"/>
  <c r="AX90" i="87"/>
  <c r="AY89" i="87"/>
  <c r="AT89" i="87"/>
  <c r="AV89" i="87"/>
  <c r="AW89" i="87"/>
  <c r="AX89" i="87"/>
  <c r="AY88" i="87"/>
  <c r="AT88" i="87"/>
  <c r="AV88" i="87"/>
  <c r="AW88" i="87"/>
  <c r="AX88" i="87"/>
  <c r="AY87" i="87"/>
  <c r="AT87" i="87"/>
  <c r="AV87" i="87"/>
  <c r="AW87" i="87"/>
  <c r="AX87" i="87"/>
  <c r="AY86" i="87"/>
  <c r="AT86" i="87"/>
  <c r="AV86" i="87"/>
  <c r="AW86" i="87"/>
  <c r="AX86" i="87"/>
  <c r="AY85" i="87"/>
  <c r="AT85" i="87"/>
  <c r="AV85" i="87"/>
  <c r="AW85" i="87"/>
  <c r="AX85" i="87"/>
  <c r="AY84" i="87"/>
  <c r="AT84" i="87"/>
  <c r="AV84" i="87"/>
  <c r="AW84" i="87"/>
  <c r="AX84" i="87"/>
  <c r="AY83" i="87"/>
  <c r="AT83" i="87"/>
  <c r="AV83" i="87"/>
  <c r="AW83" i="87"/>
  <c r="AX83" i="87"/>
  <c r="AY82" i="87"/>
  <c r="AT82" i="87"/>
  <c r="AV82" i="87"/>
  <c r="AW82" i="87"/>
  <c r="AX82" i="87"/>
  <c r="AY81" i="87"/>
  <c r="AT81" i="87"/>
  <c r="AV81" i="87"/>
  <c r="AW81" i="87"/>
  <c r="AX81" i="87"/>
  <c r="AY80" i="87"/>
  <c r="AT80" i="87"/>
  <c r="AV80" i="87"/>
  <c r="AW80" i="87"/>
  <c r="AX80" i="87"/>
  <c r="AY79" i="87"/>
  <c r="AT79" i="87"/>
  <c r="AV79" i="87"/>
  <c r="AW79" i="87"/>
  <c r="AX79" i="87"/>
  <c r="AY78" i="87"/>
  <c r="AT78" i="87"/>
  <c r="AV78" i="87"/>
  <c r="AW78" i="87"/>
  <c r="AX78" i="87"/>
  <c r="AY77" i="87"/>
  <c r="AT77" i="87"/>
  <c r="AV77" i="87"/>
  <c r="AW77" i="87"/>
  <c r="AX77" i="87"/>
  <c r="AY76" i="87"/>
  <c r="AT76" i="87"/>
  <c r="AV76" i="87"/>
  <c r="AW76" i="87"/>
  <c r="AX76" i="87"/>
  <c r="AY75" i="87"/>
  <c r="AT75" i="87"/>
  <c r="AV75" i="87"/>
  <c r="AW75" i="87"/>
  <c r="AX75" i="87"/>
  <c r="AY74" i="87"/>
  <c r="AT74" i="87"/>
  <c r="AV74" i="87"/>
  <c r="AW74" i="87"/>
  <c r="AX74" i="87"/>
  <c r="AY73" i="87"/>
  <c r="AT73" i="87"/>
  <c r="AV73" i="87"/>
  <c r="AW73" i="87"/>
  <c r="AX73" i="87"/>
  <c r="AY72" i="87"/>
  <c r="AT72" i="87"/>
  <c r="AV72" i="87"/>
  <c r="AW72" i="87"/>
  <c r="AX72" i="87"/>
  <c r="AY71" i="87"/>
  <c r="AT71" i="87"/>
  <c r="AV71" i="87"/>
  <c r="AW71" i="87"/>
  <c r="AX71" i="87"/>
  <c r="AY70" i="87"/>
  <c r="AT70" i="87"/>
  <c r="AV70" i="87"/>
  <c r="AW70" i="87"/>
  <c r="AX70" i="87"/>
  <c r="AY69" i="87"/>
  <c r="AT69" i="87"/>
  <c r="AV69" i="87"/>
  <c r="AW69" i="87"/>
  <c r="AX69" i="87"/>
  <c r="AY68" i="87"/>
  <c r="AT68" i="87"/>
  <c r="AV68" i="87"/>
  <c r="AW68" i="87"/>
  <c r="AX68" i="87"/>
  <c r="AY67" i="87"/>
  <c r="AT67" i="87"/>
  <c r="AV67" i="87"/>
  <c r="AW67" i="87"/>
  <c r="AX67" i="87"/>
  <c r="AY66" i="87"/>
  <c r="AT66" i="87"/>
  <c r="AV66" i="87"/>
  <c r="AW66" i="87"/>
  <c r="AX66" i="87"/>
  <c r="AY65" i="87"/>
  <c r="AT65" i="87"/>
  <c r="AV65" i="87"/>
  <c r="AW65" i="87"/>
  <c r="AX65" i="87"/>
  <c r="AY64" i="87"/>
  <c r="AT64" i="87"/>
  <c r="AV64" i="87"/>
  <c r="AW64" i="87"/>
  <c r="AX64" i="87"/>
  <c r="AY63" i="87"/>
  <c r="AT63" i="87"/>
  <c r="AV63" i="87"/>
  <c r="AW63" i="87"/>
  <c r="AX63" i="87"/>
  <c r="AY62" i="87"/>
  <c r="AT62" i="87"/>
  <c r="AV62" i="87"/>
  <c r="AW62" i="87"/>
  <c r="AX62" i="87"/>
  <c r="AY61" i="87"/>
  <c r="AT61" i="87"/>
  <c r="AV61" i="87"/>
  <c r="AW61" i="87"/>
  <c r="AX61" i="87"/>
  <c r="AY60" i="87"/>
  <c r="AT60" i="87"/>
  <c r="AV60" i="87"/>
  <c r="AW60" i="87"/>
  <c r="AX60" i="87"/>
  <c r="AY59" i="87"/>
  <c r="AT59" i="87"/>
  <c r="AV59" i="87"/>
  <c r="AW59" i="87"/>
  <c r="AX59" i="87"/>
  <c r="AY58" i="87"/>
  <c r="AT58" i="87"/>
  <c r="AV58" i="87"/>
  <c r="AW58" i="87"/>
  <c r="AX58" i="87"/>
  <c r="AY57" i="87"/>
  <c r="AT57" i="87"/>
  <c r="AV57" i="87"/>
  <c r="AW57" i="87"/>
  <c r="AX57" i="87"/>
  <c r="AY56" i="87"/>
  <c r="AT56" i="87"/>
  <c r="AV56" i="87"/>
  <c r="AW56" i="87"/>
  <c r="AX56" i="87"/>
  <c r="AY55" i="87"/>
  <c r="AT55" i="87"/>
  <c r="AV55" i="87"/>
  <c r="AW55" i="87"/>
  <c r="AX55" i="87"/>
  <c r="AY54" i="87"/>
  <c r="AT54" i="87"/>
  <c r="AV54" i="87"/>
  <c r="AW54" i="87"/>
  <c r="AX54" i="87"/>
  <c r="AY53" i="87"/>
  <c r="AT53" i="87"/>
  <c r="AV53" i="87"/>
  <c r="AW53" i="87"/>
  <c r="AX53" i="87"/>
  <c r="AY52" i="87"/>
  <c r="AT52" i="87"/>
  <c r="AV52" i="87"/>
  <c r="AW52" i="87"/>
  <c r="AX52" i="87"/>
  <c r="AY51" i="87"/>
  <c r="AT51" i="87"/>
  <c r="AV51" i="87"/>
  <c r="AW51" i="87"/>
  <c r="AX51" i="87"/>
  <c r="AY50" i="87"/>
  <c r="AT50" i="87"/>
  <c r="AV50" i="87"/>
  <c r="AW50" i="87"/>
  <c r="AX50" i="87"/>
  <c r="AY49" i="87"/>
  <c r="AT49" i="87"/>
  <c r="AV49" i="87"/>
  <c r="AW49" i="87"/>
  <c r="AX49" i="87"/>
  <c r="AY48" i="87"/>
  <c r="AT48" i="87"/>
  <c r="AV48" i="87"/>
  <c r="AW48" i="87"/>
  <c r="AX48" i="87"/>
  <c r="AY47" i="87"/>
  <c r="AT47" i="87"/>
  <c r="AV47" i="87"/>
  <c r="AW47" i="87"/>
  <c r="AX47" i="87"/>
  <c r="AY46" i="87"/>
  <c r="AT46" i="87"/>
  <c r="AV46" i="87"/>
  <c r="AW46" i="87"/>
  <c r="AX46" i="87"/>
  <c r="AY45" i="87"/>
  <c r="AT45" i="87"/>
  <c r="AV45" i="87"/>
  <c r="AW45" i="87"/>
  <c r="AX45" i="87"/>
  <c r="AY44" i="87"/>
  <c r="AT44" i="87"/>
  <c r="AV44" i="87"/>
  <c r="AW44" i="87"/>
  <c r="AX44" i="87"/>
  <c r="AY43" i="87"/>
  <c r="AT43" i="87"/>
  <c r="AV43" i="87"/>
  <c r="AW43" i="87"/>
  <c r="AX43" i="87"/>
  <c r="AY42" i="87"/>
  <c r="AT42" i="87"/>
  <c r="AV42" i="87"/>
  <c r="AW42" i="87"/>
  <c r="AX42" i="87"/>
  <c r="AY41" i="87"/>
  <c r="AT41" i="87"/>
  <c r="AV41" i="87"/>
  <c r="AW41" i="87"/>
  <c r="AX41" i="87"/>
  <c r="AY40" i="87"/>
  <c r="AT40" i="87"/>
  <c r="AV40" i="87"/>
  <c r="AW40" i="87"/>
  <c r="AX40" i="87"/>
  <c r="AY39" i="87"/>
  <c r="AT39" i="87"/>
  <c r="AV39" i="87"/>
  <c r="AW39" i="87"/>
  <c r="AX39" i="87"/>
  <c r="AY38" i="87"/>
  <c r="AT38" i="87"/>
  <c r="AV38" i="87"/>
  <c r="AW38" i="87"/>
  <c r="AX38" i="87"/>
  <c r="AY37" i="87"/>
  <c r="AT37" i="87"/>
  <c r="AV37" i="87"/>
  <c r="AW37" i="87"/>
  <c r="AX37" i="87"/>
  <c r="AY36" i="87"/>
  <c r="AT36" i="87"/>
  <c r="AV36" i="87"/>
  <c r="AW36" i="87"/>
  <c r="AX36" i="87"/>
  <c r="AY35" i="87"/>
  <c r="AT35" i="87"/>
  <c r="AV35" i="87"/>
  <c r="AW35" i="87"/>
  <c r="AX35" i="87"/>
  <c r="W35" i="87"/>
  <c r="AY34" i="87"/>
  <c r="AT34" i="87"/>
  <c r="AV34" i="87"/>
  <c r="AW34" i="87"/>
  <c r="AX34" i="87"/>
  <c r="AY33" i="87"/>
  <c r="AT33" i="87"/>
  <c r="AV33" i="87"/>
  <c r="AW33" i="87"/>
  <c r="AX33" i="87"/>
  <c r="W33" i="87"/>
  <c r="AY32" i="87"/>
  <c r="AT32" i="87"/>
  <c r="AV32" i="87"/>
  <c r="AW32" i="87"/>
  <c r="AX32" i="87"/>
  <c r="W32" i="87"/>
  <c r="AY31" i="87"/>
  <c r="AT31" i="87"/>
  <c r="AV31" i="87"/>
  <c r="AW31" i="87"/>
  <c r="AX31" i="87"/>
  <c r="W31" i="87"/>
  <c r="AY30" i="87"/>
  <c r="AT30" i="87"/>
  <c r="AV30" i="87"/>
  <c r="AW30" i="87"/>
  <c r="AX30" i="87"/>
  <c r="G30" i="87"/>
  <c r="AY29" i="87"/>
  <c r="AT29" i="87"/>
  <c r="AV29" i="87"/>
  <c r="AW29" i="87"/>
  <c r="AX29" i="87"/>
  <c r="S29" i="87"/>
  <c r="W29" i="87"/>
  <c r="G29" i="87"/>
  <c r="AY28" i="87"/>
  <c r="AT28" i="87"/>
  <c r="AV28" i="87"/>
  <c r="AW28" i="87"/>
  <c r="AX28" i="87"/>
  <c r="W28" i="87"/>
  <c r="AY27" i="87"/>
  <c r="AT27" i="87"/>
  <c r="AV27" i="87"/>
  <c r="AW27" i="87"/>
  <c r="AX27" i="87"/>
  <c r="W27" i="87"/>
  <c r="AY26" i="87"/>
  <c r="AT26" i="87"/>
  <c r="AV26" i="87"/>
  <c r="AW26" i="87"/>
  <c r="AX26" i="87"/>
  <c r="W26" i="87"/>
  <c r="AY25" i="87"/>
  <c r="AT25" i="87"/>
  <c r="AV25" i="87"/>
  <c r="AW25" i="87"/>
  <c r="AX25" i="87"/>
  <c r="W21" i="87"/>
  <c r="V21" i="87"/>
  <c r="T21" i="87"/>
  <c r="S21" i="87"/>
  <c r="V20" i="87"/>
  <c r="T20" i="87"/>
  <c r="S20" i="87"/>
  <c r="V18" i="87"/>
  <c r="T18" i="87"/>
  <c r="S18" i="87"/>
  <c r="V17" i="87"/>
  <c r="T17" i="87"/>
  <c r="S17" i="87"/>
  <c r="U11" i="87"/>
  <c r="AE7" i="87"/>
  <c r="AE8" i="87"/>
  <c r="AE6" i="87"/>
  <c r="BB5" i="87"/>
  <c r="AY111" i="86"/>
  <c r="AT111" i="86"/>
  <c r="AV111" i="86"/>
  <c r="AW111" i="86"/>
  <c r="AX111" i="86"/>
  <c r="AY110" i="86"/>
  <c r="AT110" i="86"/>
  <c r="AV110" i="86"/>
  <c r="AW110" i="86"/>
  <c r="AX110" i="86"/>
  <c r="AY109" i="86"/>
  <c r="AT109" i="86"/>
  <c r="AV109" i="86"/>
  <c r="AW109" i="86"/>
  <c r="AX109" i="86"/>
  <c r="AY108" i="86"/>
  <c r="AT108" i="86"/>
  <c r="AV108" i="86"/>
  <c r="AW108" i="86"/>
  <c r="AX108" i="86"/>
  <c r="AY107" i="86"/>
  <c r="AT107" i="86"/>
  <c r="AV107" i="86"/>
  <c r="AW107" i="86"/>
  <c r="AX107" i="86"/>
  <c r="AY106" i="86"/>
  <c r="AT106" i="86"/>
  <c r="AV106" i="86"/>
  <c r="AW106" i="86"/>
  <c r="AX106" i="86"/>
  <c r="AY105" i="86"/>
  <c r="AT105" i="86"/>
  <c r="AV105" i="86"/>
  <c r="AW105" i="86"/>
  <c r="AX105" i="86"/>
  <c r="AY104" i="86"/>
  <c r="AT104" i="86"/>
  <c r="AV104" i="86"/>
  <c r="AW104" i="86"/>
  <c r="AX104" i="86"/>
  <c r="AY103" i="86"/>
  <c r="AT103" i="86"/>
  <c r="AV103" i="86"/>
  <c r="AW103" i="86"/>
  <c r="AX103" i="86"/>
  <c r="AY102" i="86"/>
  <c r="AT102" i="86"/>
  <c r="AV102" i="86"/>
  <c r="AW102" i="86"/>
  <c r="AX102" i="86"/>
  <c r="AY101" i="86"/>
  <c r="AT101" i="86"/>
  <c r="AV101" i="86"/>
  <c r="AW101" i="86"/>
  <c r="AX101" i="86"/>
  <c r="AY100" i="86"/>
  <c r="AT100" i="86"/>
  <c r="AV100" i="86"/>
  <c r="AW100" i="86"/>
  <c r="AX100" i="86"/>
  <c r="AY99" i="86"/>
  <c r="AT99" i="86"/>
  <c r="AV99" i="86"/>
  <c r="AW99" i="86"/>
  <c r="AX99" i="86"/>
  <c r="AY98" i="86"/>
  <c r="AT98" i="86"/>
  <c r="AV98" i="86"/>
  <c r="AW98" i="86"/>
  <c r="AX98" i="86"/>
  <c r="AY97" i="86"/>
  <c r="AT97" i="86"/>
  <c r="AV97" i="86"/>
  <c r="AW97" i="86"/>
  <c r="AX97" i="86"/>
  <c r="AY96" i="86"/>
  <c r="AT96" i="86"/>
  <c r="AV96" i="86"/>
  <c r="AW96" i="86"/>
  <c r="AX96" i="86"/>
  <c r="AY95" i="86"/>
  <c r="AT95" i="86"/>
  <c r="AV95" i="86"/>
  <c r="AW95" i="86"/>
  <c r="AX95" i="86"/>
  <c r="AY94" i="86"/>
  <c r="AT94" i="86"/>
  <c r="AV94" i="86"/>
  <c r="AW94" i="86"/>
  <c r="AX94" i="86"/>
  <c r="AY93" i="86"/>
  <c r="AT93" i="86"/>
  <c r="AV93" i="86"/>
  <c r="AW93" i="86"/>
  <c r="AX93" i="86"/>
  <c r="AY92" i="86"/>
  <c r="AT92" i="86"/>
  <c r="AV92" i="86"/>
  <c r="AW92" i="86"/>
  <c r="AX92" i="86"/>
  <c r="AY91" i="86"/>
  <c r="AT91" i="86"/>
  <c r="AV91" i="86"/>
  <c r="AW91" i="86"/>
  <c r="AX91" i="86"/>
  <c r="AY90" i="86"/>
  <c r="AT90" i="86"/>
  <c r="AV90" i="86"/>
  <c r="AW90" i="86"/>
  <c r="AX90" i="86"/>
  <c r="AY89" i="86"/>
  <c r="AT89" i="86"/>
  <c r="AV89" i="86"/>
  <c r="AW89" i="86"/>
  <c r="AX89" i="86"/>
  <c r="AY88" i="86"/>
  <c r="AT88" i="86"/>
  <c r="AV88" i="86"/>
  <c r="AW88" i="86"/>
  <c r="AX88" i="86"/>
  <c r="AY87" i="86"/>
  <c r="AT87" i="86"/>
  <c r="AV87" i="86"/>
  <c r="AW87" i="86"/>
  <c r="AX87" i="86"/>
  <c r="AY86" i="86"/>
  <c r="AT86" i="86"/>
  <c r="AV86" i="86"/>
  <c r="AW86" i="86"/>
  <c r="AX86" i="86"/>
  <c r="AY85" i="86"/>
  <c r="AT85" i="86"/>
  <c r="AV85" i="86"/>
  <c r="AW85" i="86"/>
  <c r="AX85" i="86"/>
  <c r="AY84" i="86"/>
  <c r="AT84" i="86"/>
  <c r="AV84" i="86"/>
  <c r="AW84" i="86"/>
  <c r="AX84" i="86"/>
  <c r="AY83" i="86"/>
  <c r="AT83" i="86"/>
  <c r="AV83" i="86"/>
  <c r="AW83" i="86"/>
  <c r="AX83" i="86"/>
  <c r="AY82" i="86"/>
  <c r="AT82" i="86"/>
  <c r="AV82" i="86"/>
  <c r="AW82" i="86"/>
  <c r="AX82" i="86"/>
  <c r="AY81" i="86"/>
  <c r="AT81" i="86"/>
  <c r="AV81" i="86"/>
  <c r="AW81" i="86"/>
  <c r="AX81" i="86"/>
  <c r="AY80" i="86"/>
  <c r="AT80" i="86"/>
  <c r="AV80" i="86"/>
  <c r="AW80" i="86"/>
  <c r="AX80" i="86"/>
  <c r="AY79" i="86"/>
  <c r="AT79" i="86"/>
  <c r="AV79" i="86"/>
  <c r="AW79" i="86"/>
  <c r="AX79" i="86"/>
  <c r="AY78" i="86"/>
  <c r="AT78" i="86"/>
  <c r="AV78" i="86"/>
  <c r="AW78" i="86"/>
  <c r="AX78" i="86"/>
  <c r="AY77" i="86"/>
  <c r="AT77" i="86"/>
  <c r="AV77" i="86"/>
  <c r="AW77" i="86"/>
  <c r="AX77" i="86"/>
  <c r="AY76" i="86"/>
  <c r="AT76" i="86"/>
  <c r="AV76" i="86"/>
  <c r="AW76" i="86"/>
  <c r="AX76" i="86"/>
  <c r="AY75" i="86"/>
  <c r="AT75" i="86"/>
  <c r="AV75" i="86"/>
  <c r="AW75" i="86"/>
  <c r="AX75" i="86"/>
  <c r="AY74" i="86"/>
  <c r="AT74" i="86"/>
  <c r="AV74" i="86"/>
  <c r="AW74" i="86"/>
  <c r="AX74" i="86"/>
  <c r="AY73" i="86"/>
  <c r="AT73" i="86"/>
  <c r="AV73" i="86"/>
  <c r="AW73" i="86"/>
  <c r="AX73" i="86"/>
  <c r="AY72" i="86"/>
  <c r="AT72" i="86"/>
  <c r="AV72" i="86"/>
  <c r="AW72" i="86"/>
  <c r="AX72" i="86"/>
  <c r="AY71" i="86"/>
  <c r="AT71" i="86"/>
  <c r="AV71" i="86"/>
  <c r="AW71" i="86"/>
  <c r="AX71" i="86"/>
  <c r="AY70" i="86"/>
  <c r="AT70" i="86"/>
  <c r="AV70" i="86"/>
  <c r="AW70" i="86"/>
  <c r="AX70" i="86"/>
  <c r="AY69" i="86"/>
  <c r="AT69" i="86"/>
  <c r="AV69" i="86"/>
  <c r="AW69" i="86"/>
  <c r="AX69" i="86"/>
  <c r="AY68" i="86"/>
  <c r="AT68" i="86"/>
  <c r="AV68" i="86"/>
  <c r="AW68" i="86"/>
  <c r="AX68" i="86"/>
  <c r="AY67" i="86"/>
  <c r="AT67" i="86"/>
  <c r="AV67" i="86"/>
  <c r="AW67" i="86"/>
  <c r="AX67" i="86"/>
  <c r="AY66" i="86"/>
  <c r="AT66" i="86"/>
  <c r="AV66" i="86"/>
  <c r="AW66" i="86"/>
  <c r="AX66" i="86"/>
  <c r="AY65" i="86"/>
  <c r="AT65" i="86"/>
  <c r="AV65" i="86"/>
  <c r="AW65" i="86"/>
  <c r="AX65" i="86"/>
  <c r="AY64" i="86"/>
  <c r="AT64" i="86"/>
  <c r="AV64" i="86"/>
  <c r="AW64" i="86"/>
  <c r="AX64" i="86"/>
  <c r="AY63" i="86"/>
  <c r="AT63" i="86"/>
  <c r="AV63" i="86"/>
  <c r="AW63" i="86"/>
  <c r="AX63" i="86"/>
  <c r="AY62" i="86"/>
  <c r="AT62" i="86"/>
  <c r="AV62" i="86"/>
  <c r="AW62" i="86"/>
  <c r="AX62" i="86"/>
  <c r="AY61" i="86"/>
  <c r="AT61" i="86"/>
  <c r="AV61" i="86"/>
  <c r="AW61" i="86"/>
  <c r="AX61" i="86"/>
  <c r="AY60" i="86"/>
  <c r="AT60" i="86"/>
  <c r="AV60" i="86"/>
  <c r="AW60" i="86"/>
  <c r="AX60" i="86"/>
  <c r="AY59" i="86"/>
  <c r="AT59" i="86"/>
  <c r="AV59" i="86"/>
  <c r="AW59" i="86"/>
  <c r="AX59" i="86"/>
  <c r="AY58" i="86"/>
  <c r="AT58" i="86"/>
  <c r="AV58" i="86"/>
  <c r="AW58" i="86"/>
  <c r="AX58" i="86"/>
  <c r="AY57" i="86"/>
  <c r="AT57" i="86"/>
  <c r="AV57" i="86"/>
  <c r="AW57" i="86"/>
  <c r="AX57" i="86"/>
  <c r="AY56" i="86"/>
  <c r="AT56" i="86"/>
  <c r="AV56" i="86"/>
  <c r="AW56" i="86"/>
  <c r="AX56" i="86"/>
  <c r="AY55" i="86"/>
  <c r="AT55" i="86"/>
  <c r="AV55" i="86"/>
  <c r="AW55" i="86"/>
  <c r="AX55" i="86"/>
  <c r="AY54" i="86"/>
  <c r="AT54" i="86"/>
  <c r="AV54" i="86"/>
  <c r="AW54" i="86"/>
  <c r="AX54" i="86"/>
  <c r="AY53" i="86"/>
  <c r="AT53" i="86"/>
  <c r="AV53" i="86"/>
  <c r="AW53" i="86"/>
  <c r="AX53" i="86"/>
  <c r="AY52" i="86"/>
  <c r="AT52" i="86"/>
  <c r="AV52" i="86"/>
  <c r="AW52" i="86"/>
  <c r="AX52" i="86"/>
  <c r="AY51" i="86"/>
  <c r="AT51" i="86"/>
  <c r="AV51" i="86"/>
  <c r="AW51" i="86"/>
  <c r="AX51" i="86"/>
  <c r="AY50" i="86"/>
  <c r="AT50" i="86"/>
  <c r="AV50" i="86"/>
  <c r="AW50" i="86"/>
  <c r="AX50" i="86"/>
  <c r="AY49" i="86"/>
  <c r="AT49" i="86"/>
  <c r="AV49" i="86"/>
  <c r="AW49" i="86"/>
  <c r="AX49" i="86"/>
  <c r="AY48" i="86"/>
  <c r="AT48" i="86"/>
  <c r="AV48" i="86"/>
  <c r="AW48" i="86"/>
  <c r="AX48" i="86"/>
  <c r="AY47" i="86"/>
  <c r="AT47" i="86"/>
  <c r="AV47" i="86"/>
  <c r="AW47" i="86"/>
  <c r="AX47" i="86"/>
  <c r="AY46" i="86"/>
  <c r="AT46" i="86"/>
  <c r="AV46" i="86"/>
  <c r="AW46" i="86"/>
  <c r="AX46" i="86"/>
  <c r="AY45" i="86"/>
  <c r="AT45" i="86"/>
  <c r="AV45" i="86"/>
  <c r="AW45" i="86"/>
  <c r="AX45" i="86"/>
  <c r="AY44" i="86"/>
  <c r="AT44" i="86"/>
  <c r="AV44" i="86"/>
  <c r="AW44" i="86"/>
  <c r="AX44" i="86"/>
  <c r="AY43" i="86"/>
  <c r="AT43" i="86"/>
  <c r="AV43" i="86"/>
  <c r="AW43" i="86"/>
  <c r="AX43" i="86"/>
  <c r="AY42" i="86"/>
  <c r="AT42" i="86"/>
  <c r="AV42" i="86"/>
  <c r="AW42" i="86"/>
  <c r="AX42" i="86"/>
  <c r="AY41" i="86"/>
  <c r="AT41" i="86"/>
  <c r="AV41" i="86"/>
  <c r="AW41" i="86"/>
  <c r="AX41" i="86"/>
  <c r="AY40" i="86"/>
  <c r="AT40" i="86"/>
  <c r="AV40" i="86"/>
  <c r="AW40" i="86"/>
  <c r="AX40" i="86"/>
  <c r="AY39" i="86"/>
  <c r="AT39" i="86"/>
  <c r="AV39" i="86"/>
  <c r="AW39" i="86"/>
  <c r="AX39" i="86"/>
  <c r="AY38" i="86"/>
  <c r="AT38" i="86"/>
  <c r="AV38" i="86"/>
  <c r="AW38" i="86"/>
  <c r="AX38" i="86"/>
  <c r="AY37" i="86"/>
  <c r="AT37" i="86"/>
  <c r="AV37" i="86"/>
  <c r="AW37" i="86"/>
  <c r="AX37" i="86"/>
  <c r="AY36" i="86"/>
  <c r="AT36" i="86"/>
  <c r="AV36" i="86"/>
  <c r="AW36" i="86"/>
  <c r="AX36" i="86"/>
  <c r="AY35" i="86"/>
  <c r="AT35" i="86"/>
  <c r="AV35" i="86"/>
  <c r="AW35" i="86"/>
  <c r="AX35" i="86"/>
  <c r="W35" i="86"/>
  <c r="AY34" i="86"/>
  <c r="AT34" i="86"/>
  <c r="AV34" i="86"/>
  <c r="AW34" i="86"/>
  <c r="AX34" i="86"/>
  <c r="AY33" i="86"/>
  <c r="AT33" i="86"/>
  <c r="AV33" i="86"/>
  <c r="AW33" i="86"/>
  <c r="AX33" i="86"/>
  <c r="W33" i="86"/>
  <c r="AY32" i="86"/>
  <c r="AT32" i="86"/>
  <c r="AV32" i="86"/>
  <c r="AW32" i="86"/>
  <c r="AX32" i="86"/>
  <c r="W32" i="86"/>
  <c r="AY31" i="86"/>
  <c r="AT31" i="86"/>
  <c r="AV31" i="86"/>
  <c r="AW31" i="86"/>
  <c r="AX31" i="86"/>
  <c r="W31" i="86"/>
  <c r="AY30" i="86"/>
  <c r="AT30" i="86"/>
  <c r="AV30" i="86"/>
  <c r="AW30" i="86"/>
  <c r="AX30" i="86"/>
  <c r="G30" i="86"/>
  <c r="AY29" i="86"/>
  <c r="AT29" i="86"/>
  <c r="AV29" i="86"/>
  <c r="AW29" i="86"/>
  <c r="AX29" i="86"/>
  <c r="S29" i="86"/>
  <c r="W29" i="86"/>
  <c r="G29" i="86"/>
  <c r="AY28" i="86"/>
  <c r="AT28" i="86"/>
  <c r="AV28" i="86"/>
  <c r="AW28" i="86"/>
  <c r="AX28" i="86"/>
  <c r="W28" i="86"/>
  <c r="AY27" i="86"/>
  <c r="AT27" i="86"/>
  <c r="AV27" i="86"/>
  <c r="AW27" i="86"/>
  <c r="AX27" i="86"/>
  <c r="W27" i="86"/>
  <c r="AY26" i="86"/>
  <c r="AT26" i="86"/>
  <c r="AV26" i="86"/>
  <c r="AW26" i="86"/>
  <c r="AX26" i="86"/>
  <c r="W26" i="86"/>
  <c r="AY25" i="86"/>
  <c r="AT25" i="86"/>
  <c r="AV25" i="86"/>
  <c r="AW25" i="86"/>
  <c r="AX25" i="86"/>
  <c r="W21" i="86"/>
  <c r="V21" i="86"/>
  <c r="T21" i="86"/>
  <c r="S21" i="86"/>
  <c r="V20" i="86"/>
  <c r="T20" i="86"/>
  <c r="S20" i="86"/>
  <c r="V18" i="86"/>
  <c r="T18" i="86"/>
  <c r="S18" i="86"/>
  <c r="V17" i="86"/>
  <c r="T17" i="86"/>
  <c r="S17" i="86"/>
  <c r="U11" i="86"/>
  <c r="AE7" i="86"/>
  <c r="AE8" i="86"/>
  <c r="AE6" i="86"/>
  <c r="BB5" i="86"/>
  <c r="R6" i="83"/>
  <c r="S6" i="83"/>
  <c r="V39" i="83"/>
  <c r="U39" i="83"/>
  <c r="T6" i="83"/>
  <c r="S12" i="83"/>
  <c r="T12" i="83"/>
  <c r="AE6" i="83"/>
  <c r="S39" i="83"/>
  <c r="D39" i="83"/>
  <c r="R5" i="83"/>
  <c r="S5" i="83"/>
  <c r="G39" i="83"/>
  <c r="T5" i="83"/>
  <c r="R39" i="83"/>
  <c r="AB8" i="83"/>
  <c r="AB16" i="83"/>
  <c r="T11" i="83"/>
  <c r="N49" i="85"/>
  <c r="N50" i="85"/>
  <c r="N51" i="85"/>
  <c r="N52" i="85"/>
  <c r="N53" i="85"/>
  <c r="N54" i="85"/>
  <c r="O49" i="85"/>
  <c r="O50" i="85"/>
  <c r="O51" i="85"/>
  <c r="O52" i="85"/>
  <c r="O53" i="85"/>
  <c r="O54" i="85"/>
  <c r="E53" i="85"/>
  <c r="T37" i="85"/>
  <c r="R19" i="85"/>
  <c r="R20" i="85"/>
  <c r="R21" i="85"/>
  <c r="R22" i="85"/>
  <c r="R23" i="85"/>
  <c r="R24" i="85"/>
  <c r="R25" i="85"/>
  <c r="R26" i="85"/>
  <c r="R27" i="85"/>
  <c r="R28" i="85"/>
  <c r="R29" i="85"/>
  <c r="R30" i="85"/>
  <c r="R31" i="85"/>
  <c r="R32" i="85"/>
  <c r="R33" i="85"/>
  <c r="R34" i="85"/>
  <c r="R35" i="85"/>
  <c r="R36" i="85"/>
  <c r="R37" i="85"/>
  <c r="S19" i="85"/>
  <c r="S20" i="85"/>
  <c r="S21" i="85"/>
  <c r="S22" i="85"/>
  <c r="S23" i="85"/>
  <c r="S24" i="85"/>
  <c r="S25" i="85"/>
  <c r="S26" i="85"/>
  <c r="S27" i="85"/>
  <c r="S28" i="85"/>
  <c r="S29" i="85"/>
  <c r="S30" i="85"/>
  <c r="S31" i="85"/>
  <c r="S32" i="85"/>
  <c r="S33" i="85"/>
  <c r="S34" i="85"/>
  <c r="S35" i="85"/>
  <c r="S36" i="85"/>
  <c r="S37" i="85"/>
  <c r="Q37" i="85"/>
  <c r="P37" i="85"/>
  <c r="O37" i="85"/>
  <c r="N37" i="85"/>
  <c r="E21" i="85"/>
  <c r="H13" i="85"/>
  <c r="I13" i="85"/>
  <c r="J13" i="85"/>
  <c r="K13" i="85"/>
  <c r="H14" i="85"/>
  <c r="B14" i="85"/>
  <c r="V5" i="83"/>
  <c r="AB6" i="83"/>
  <c r="AB14" i="83"/>
  <c r="S9" i="83"/>
  <c r="AB7" i="83"/>
  <c r="AB15" i="83"/>
  <c r="S10" i="83"/>
  <c r="AS5" i="83"/>
  <c r="AS6" i="83"/>
  <c r="AS7" i="83"/>
  <c r="AS8" i="83"/>
  <c r="AS9" i="83"/>
  <c r="AS10" i="83"/>
  <c r="AS11" i="83"/>
  <c r="AS12" i="83"/>
  <c r="AS13" i="83"/>
  <c r="AS14" i="83"/>
  <c r="AS15" i="83"/>
  <c r="AS16" i="83"/>
  <c r="AS17" i="83"/>
  <c r="AS18" i="83"/>
  <c r="AS19" i="83"/>
  <c r="AS20" i="83"/>
  <c r="AS21" i="83"/>
  <c r="AS22" i="83"/>
  <c r="AS23" i="83"/>
  <c r="AS24" i="83"/>
  <c r="AS25" i="83"/>
  <c r="AS26" i="83"/>
  <c r="AS27" i="83"/>
  <c r="AS28" i="83"/>
  <c r="AS29" i="83"/>
  <c r="AS30" i="83"/>
  <c r="AS31" i="83"/>
  <c r="AS32" i="83"/>
  <c r="AS33" i="83"/>
  <c r="AS34" i="83"/>
  <c r="AS35" i="83"/>
  <c r="AS36" i="83"/>
  <c r="AS37" i="83"/>
  <c r="AS38" i="83"/>
  <c r="AS39" i="83"/>
  <c r="AS40" i="83"/>
  <c r="AS41" i="83"/>
  <c r="AS42" i="83"/>
  <c r="AS43" i="83"/>
  <c r="AS44" i="83"/>
  <c r="AS45" i="83"/>
  <c r="AS46" i="83"/>
  <c r="AS47" i="83"/>
  <c r="AS48" i="83"/>
  <c r="AS49" i="83"/>
  <c r="AS50" i="83"/>
  <c r="AS51" i="83"/>
  <c r="AS52" i="83"/>
  <c r="AS53" i="83"/>
  <c r="AS54" i="83"/>
  <c r="AS55" i="83"/>
  <c r="AS56" i="83"/>
  <c r="AS57" i="83"/>
  <c r="AS58" i="83"/>
  <c r="AS59" i="83"/>
  <c r="AS60" i="83"/>
  <c r="AY60" i="83"/>
  <c r="AS61" i="83"/>
  <c r="AY61" i="83"/>
  <c r="AS62" i="83"/>
  <c r="AY62" i="83"/>
  <c r="AS63" i="83"/>
  <c r="AY63" i="83"/>
  <c r="AS64" i="83"/>
  <c r="AY64" i="83"/>
  <c r="AS65" i="83"/>
  <c r="AY65" i="83"/>
  <c r="AS66" i="83"/>
  <c r="AY66" i="83"/>
  <c r="AS67" i="83"/>
  <c r="AY67" i="83"/>
  <c r="AS68" i="83"/>
  <c r="AY68" i="83"/>
  <c r="AS69" i="83"/>
  <c r="AY69" i="83"/>
  <c r="AS70" i="83"/>
  <c r="AY70" i="83"/>
  <c r="AS71" i="83"/>
  <c r="AY71" i="83"/>
  <c r="AS72" i="83"/>
  <c r="AY72" i="83"/>
  <c r="AS73" i="83"/>
  <c r="AY73" i="83"/>
  <c r="AS74" i="83"/>
  <c r="AY74" i="83"/>
  <c r="AS75" i="83"/>
  <c r="AY75" i="83"/>
  <c r="AS76" i="83"/>
  <c r="AY76" i="83"/>
  <c r="AS77" i="83"/>
  <c r="AY77" i="83"/>
  <c r="AS78" i="83"/>
  <c r="AY78" i="83"/>
  <c r="AS79" i="83"/>
  <c r="AY79" i="83"/>
  <c r="AS80" i="83"/>
  <c r="AY80" i="83"/>
  <c r="AS81" i="83"/>
  <c r="AY81" i="83"/>
  <c r="AS82" i="83"/>
  <c r="AY82" i="83"/>
  <c r="AS83" i="83"/>
  <c r="AY83" i="83"/>
  <c r="AS84" i="83"/>
  <c r="AY84" i="83"/>
  <c r="AS85" i="83"/>
  <c r="AY85" i="83"/>
  <c r="AS86" i="83"/>
  <c r="AY86" i="83"/>
  <c r="AS87" i="83"/>
  <c r="AY87" i="83"/>
  <c r="AS88" i="83"/>
  <c r="AY88" i="83"/>
  <c r="AS89" i="83"/>
  <c r="AY89" i="83"/>
  <c r="AS90" i="83"/>
  <c r="AY90" i="83"/>
  <c r="AS91" i="83"/>
  <c r="AY91" i="83"/>
  <c r="AS92" i="83"/>
  <c r="AY92" i="83"/>
  <c r="AS93" i="83"/>
  <c r="AY93" i="83"/>
  <c r="AS94" i="83"/>
  <c r="AY94" i="83"/>
  <c r="AS95" i="83"/>
  <c r="AY95" i="83"/>
  <c r="AS96" i="83"/>
  <c r="AY96" i="83"/>
  <c r="AS97" i="83"/>
  <c r="AY97" i="83"/>
  <c r="AS98" i="83"/>
  <c r="AY98" i="83"/>
  <c r="AS99" i="83"/>
  <c r="AY99" i="83"/>
  <c r="AS100" i="83"/>
  <c r="AY100" i="83"/>
  <c r="AS101" i="83"/>
  <c r="AY101" i="83"/>
  <c r="AS102" i="83"/>
  <c r="AY102" i="83"/>
  <c r="AS103" i="83"/>
  <c r="AY103" i="83"/>
  <c r="AS104" i="83"/>
  <c r="AY104" i="83"/>
  <c r="AS105" i="83"/>
  <c r="AY105" i="83"/>
  <c r="AS106" i="83"/>
  <c r="AY106" i="83"/>
  <c r="AS107" i="83"/>
  <c r="AY107" i="83"/>
  <c r="AS108" i="83"/>
  <c r="AY108" i="83"/>
  <c r="AS109" i="83"/>
  <c r="AY109" i="83"/>
  <c r="AS110" i="83"/>
  <c r="AY110" i="83"/>
  <c r="AS111" i="83"/>
  <c r="AY111" i="83"/>
  <c r="AY45" i="83"/>
  <c r="AY46" i="83"/>
  <c r="AY47" i="83"/>
  <c r="AY48" i="83"/>
  <c r="AY49" i="83"/>
  <c r="AY50" i="83"/>
  <c r="AY51" i="83"/>
  <c r="AY52" i="83"/>
  <c r="AY53" i="83"/>
  <c r="AY54" i="83"/>
  <c r="AY55" i="83"/>
  <c r="AY56" i="83"/>
  <c r="AY57" i="83"/>
  <c r="AY58" i="83"/>
  <c r="AY59" i="83"/>
  <c r="Q39" i="83"/>
  <c r="AT4" i="83"/>
  <c r="AU4" i="83"/>
  <c r="AT5" i="83"/>
  <c r="AW5" i="83"/>
  <c r="AT6" i="83"/>
  <c r="AW6" i="83"/>
  <c r="AT7" i="83"/>
  <c r="AW7" i="83"/>
  <c r="AT8" i="83"/>
  <c r="AW8" i="83"/>
  <c r="AT9" i="83"/>
  <c r="AW9" i="83"/>
  <c r="AT10" i="83"/>
  <c r="AW10" i="83"/>
  <c r="AT11" i="83"/>
  <c r="AW11" i="83"/>
  <c r="AT12" i="83"/>
  <c r="AW12" i="83"/>
  <c r="AT13" i="83"/>
  <c r="AW13" i="83"/>
  <c r="AT14" i="83"/>
  <c r="AW14" i="83"/>
  <c r="AT15" i="83"/>
  <c r="AW15" i="83"/>
  <c r="AT16" i="83"/>
  <c r="AW16" i="83"/>
  <c r="AT17" i="83"/>
  <c r="AW17" i="83"/>
  <c r="AT18" i="83"/>
  <c r="AW18" i="83"/>
  <c r="AT19" i="83"/>
  <c r="AW19" i="83"/>
  <c r="AT20" i="83"/>
  <c r="AW20" i="83"/>
  <c r="AT21" i="83"/>
  <c r="AW21" i="83"/>
  <c r="AT22" i="83"/>
  <c r="AW22" i="83"/>
  <c r="AT23" i="83"/>
  <c r="AV23" i="83"/>
  <c r="AW23" i="83"/>
  <c r="AX23" i="83"/>
  <c r="J39" i="83"/>
  <c r="AY23" i="83"/>
  <c r="AT24" i="83"/>
  <c r="AV24" i="83"/>
  <c r="AW24" i="83"/>
  <c r="AX24" i="83"/>
  <c r="AY24" i="83"/>
  <c r="AY25" i="83"/>
  <c r="AY26" i="83"/>
  <c r="AY27" i="83"/>
  <c r="AY28" i="83"/>
  <c r="AY29" i="83"/>
  <c r="AY30" i="83"/>
  <c r="AY31" i="83"/>
  <c r="AY32" i="83"/>
  <c r="AY33" i="83"/>
  <c r="AY34" i="83"/>
  <c r="AY35" i="83"/>
  <c r="AY36" i="83"/>
  <c r="AY37" i="83"/>
  <c r="AY38" i="83"/>
  <c r="AY39" i="83"/>
  <c r="AY40" i="83"/>
  <c r="AY41" i="83"/>
  <c r="AY42" i="83"/>
  <c r="AY43" i="83"/>
  <c r="AY44" i="83"/>
  <c r="AV12" i="83"/>
  <c r="AX12" i="83"/>
  <c r="AY12" i="83"/>
  <c r="AV13" i="83"/>
  <c r="AX13" i="83"/>
  <c r="AY13" i="83"/>
  <c r="AV14" i="83"/>
  <c r="AX14" i="83"/>
  <c r="AY14" i="83"/>
  <c r="AV15" i="83"/>
  <c r="AX15" i="83"/>
  <c r="AY15" i="83"/>
  <c r="AV16" i="83"/>
  <c r="AX16" i="83"/>
  <c r="AY16" i="83"/>
  <c r="AV17" i="83"/>
  <c r="AX17" i="83"/>
  <c r="AY17" i="83"/>
  <c r="AV18" i="83"/>
  <c r="AX18" i="83"/>
  <c r="AY18" i="83"/>
  <c r="AV19" i="83"/>
  <c r="AX19" i="83"/>
  <c r="AY19" i="83"/>
  <c r="AV20" i="83"/>
  <c r="AX20" i="83"/>
  <c r="AY20" i="83"/>
  <c r="AV21" i="83"/>
  <c r="AX21" i="83"/>
  <c r="AY21" i="83"/>
  <c r="AV22" i="83"/>
  <c r="AX22" i="83"/>
  <c r="AY22" i="83"/>
  <c r="AV5" i="83"/>
  <c r="AX5" i="83"/>
  <c r="AY5" i="83"/>
  <c r="AV6" i="83"/>
  <c r="AX6" i="83"/>
  <c r="AY6" i="83"/>
  <c r="AV7" i="83"/>
  <c r="AX7" i="83"/>
  <c r="AY7" i="83"/>
  <c r="AV8" i="83"/>
  <c r="AX8" i="83"/>
  <c r="AY8" i="83"/>
  <c r="AV9" i="83"/>
  <c r="AX9" i="83"/>
  <c r="AY9" i="83"/>
  <c r="AV10" i="83"/>
  <c r="AX10" i="83"/>
  <c r="AY10" i="83"/>
  <c r="AV11" i="83"/>
  <c r="AX11" i="83"/>
  <c r="AY11" i="83"/>
  <c r="AX4" i="83"/>
  <c r="AY4" i="83"/>
  <c r="D5" i="2"/>
  <c r="E5" i="2"/>
  <c r="F5" i="2"/>
  <c r="G5" i="2"/>
  <c r="E51" i="2"/>
  <c r="R5" i="84"/>
  <c r="R9" i="84"/>
  <c r="K7" i="84"/>
  <c r="L7" i="84"/>
  <c r="M7" i="84"/>
  <c r="K8" i="84"/>
  <c r="L8" i="84"/>
  <c r="M8" i="84"/>
  <c r="K9" i="84"/>
  <c r="L9" i="84"/>
  <c r="M9" i="84"/>
  <c r="K10" i="84"/>
  <c r="L10" i="84"/>
  <c r="M10" i="84"/>
  <c r="K11" i="84"/>
  <c r="L11" i="84"/>
  <c r="M11" i="84"/>
  <c r="K12" i="84"/>
  <c r="L12" i="84"/>
  <c r="M12" i="84"/>
  <c r="K13" i="84"/>
  <c r="L13" i="84"/>
  <c r="M13" i="84"/>
  <c r="K14" i="84"/>
  <c r="L14" i="84"/>
  <c r="M14" i="84"/>
  <c r="K15" i="84"/>
  <c r="L15" i="84"/>
  <c r="M15" i="84"/>
  <c r="K6" i="84"/>
  <c r="L6" i="84"/>
  <c r="M6" i="84"/>
  <c r="AE7" i="83"/>
  <c r="AE8" i="83"/>
  <c r="W35" i="83"/>
  <c r="E22" i="51"/>
  <c r="C22" i="51"/>
  <c r="E21" i="51"/>
  <c r="C21" i="51"/>
  <c r="E23" i="51"/>
  <c r="C23" i="51"/>
  <c r="V11" i="83"/>
  <c r="T10" i="83"/>
  <c r="V10" i="83"/>
  <c r="T9" i="83"/>
  <c r="V9" i="83"/>
  <c r="AT25" i="83"/>
  <c r="AV25" i="83"/>
  <c r="AW25" i="83"/>
  <c r="AX25" i="83"/>
  <c r="AT26" i="83"/>
  <c r="AV26" i="83"/>
  <c r="AW26" i="83"/>
  <c r="AX26" i="83"/>
  <c r="AT27" i="83"/>
  <c r="AV27" i="83"/>
  <c r="AW27" i="83"/>
  <c r="AX27" i="83"/>
  <c r="AT28" i="83"/>
  <c r="AV28" i="83"/>
  <c r="AW28" i="83"/>
  <c r="AX28" i="83"/>
  <c r="AT29" i="83"/>
  <c r="AV29" i="83"/>
  <c r="AW29" i="83"/>
  <c r="AX29" i="83"/>
  <c r="AT30" i="83"/>
  <c r="AV30" i="83"/>
  <c r="AW30" i="83"/>
  <c r="AX30" i="83"/>
  <c r="AT31" i="83"/>
  <c r="AV31" i="83"/>
  <c r="AW31" i="83"/>
  <c r="AX31" i="83"/>
  <c r="AT32" i="83"/>
  <c r="AV32" i="83"/>
  <c r="AW32" i="83"/>
  <c r="AX32" i="83"/>
  <c r="AT33" i="83"/>
  <c r="AV33" i="83"/>
  <c r="AW33" i="83"/>
  <c r="AX33" i="83"/>
  <c r="AT34" i="83"/>
  <c r="AV34" i="83"/>
  <c r="AW34" i="83"/>
  <c r="AX34" i="83"/>
  <c r="AT35" i="83"/>
  <c r="AV35" i="83"/>
  <c r="AW35" i="83"/>
  <c r="AX35" i="83"/>
  <c r="AT36" i="83"/>
  <c r="AV36" i="83"/>
  <c r="AW36" i="83"/>
  <c r="AX36" i="83"/>
  <c r="AT37" i="83"/>
  <c r="AV37" i="83"/>
  <c r="AW37" i="83"/>
  <c r="AX37" i="83"/>
  <c r="AT38" i="83"/>
  <c r="AV38" i="83"/>
  <c r="AW38" i="83"/>
  <c r="AX38" i="83"/>
  <c r="AT39" i="83"/>
  <c r="AV39" i="83"/>
  <c r="AW39" i="83"/>
  <c r="AX39" i="83"/>
  <c r="AT40" i="83"/>
  <c r="AV40" i="83"/>
  <c r="AW40" i="83"/>
  <c r="AX40" i="83"/>
  <c r="AT41" i="83"/>
  <c r="AV41" i="83"/>
  <c r="AW41" i="83"/>
  <c r="AX41" i="83"/>
  <c r="AT42" i="83"/>
  <c r="AV42" i="83"/>
  <c r="AW42" i="83"/>
  <c r="AX42" i="83"/>
  <c r="AT43" i="83"/>
  <c r="AV43" i="83"/>
  <c r="AW43" i="83"/>
  <c r="AX43" i="83"/>
  <c r="AT44" i="83"/>
  <c r="AV44" i="83"/>
  <c r="AW44" i="83"/>
  <c r="AX44" i="83"/>
  <c r="AT45" i="83"/>
  <c r="AV45" i="83"/>
  <c r="AW45" i="83"/>
  <c r="AX45" i="83"/>
  <c r="AT46" i="83"/>
  <c r="AV46" i="83"/>
  <c r="AW46" i="83"/>
  <c r="AX46" i="83"/>
  <c r="AT47" i="83"/>
  <c r="AV47" i="83"/>
  <c r="AW47" i="83"/>
  <c r="AX47" i="83"/>
  <c r="AT48" i="83"/>
  <c r="AV48" i="83"/>
  <c r="AW48" i="83"/>
  <c r="AX48" i="83"/>
  <c r="AT49" i="83"/>
  <c r="AV49" i="83"/>
  <c r="AW49" i="83"/>
  <c r="AX49" i="83"/>
  <c r="AT50" i="83"/>
  <c r="AV50" i="83"/>
  <c r="AW50" i="83"/>
  <c r="AX50" i="83"/>
  <c r="AT51" i="83"/>
  <c r="AV51" i="83"/>
  <c r="AW51" i="83"/>
  <c r="AX51" i="83"/>
  <c r="AT52" i="83"/>
  <c r="AV52" i="83"/>
  <c r="AW52" i="83"/>
  <c r="AX52" i="83"/>
  <c r="AT53" i="83"/>
  <c r="AV53" i="83"/>
  <c r="AW53" i="83"/>
  <c r="AX53" i="83"/>
  <c r="AT54" i="83"/>
  <c r="AV54" i="83"/>
  <c r="AW54" i="83"/>
  <c r="AX54" i="83"/>
  <c r="AT55" i="83"/>
  <c r="AV55" i="83"/>
  <c r="AW55" i="83"/>
  <c r="AX55" i="83"/>
  <c r="AT56" i="83"/>
  <c r="AV56" i="83"/>
  <c r="AW56" i="83"/>
  <c r="AX56" i="83"/>
  <c r="AT57" i="83"/>
  <c r="AV57" i="83"/>
  <c r="AW57" i="83"/>
  <c r="AX57" i="83"/>
  <c r="AT58" i="83"/>
  <c r="AV58" i="83"/>
  <c r="AW58" i="83"/>
  <c r="AX58" i="83"/>
  <c r="AT59" i="83"/>
  <c r="AV59" i="83"/>
  <c r="AW59" i="83"/>
  <c r="AX59" i="83"/>
  <c r="AT60" i="83"/>
  <c r="AV60" i="83"/>
  <c r="AW60" i="83"/>
  <c r="AX60" i="83"/>
  <c r="AT61" i="83"/>
  <c r="AV61" i="83"/>
  <c r="AW61" i="83"/>
  <c r="AX61" i="83"/>
  <c r="AT62" i="83"/>
  <c r="AV62" i="83"/>
  <c r="AW62" i="83"/>
  <c r="AX62" i="83"/>
  <c r="AT63" i="83"/>
  <c r="AV63" i="83"/>
  <c r="AW63" i="83"/>
  <c r="AX63" i="83"/>
  <c r="AT64" i="83"/>
  <c r="AV64" i="83"/>
  <c r="AW64" i="83"/>
  <c r="AX64" i="83"/>
  <c r="AT65" i="83"/>
  <c r="AV65" i="83"/>
  <c r="AW65" i="83"/>
  <c r="AX65" i="83"/>
  <c r="AT66" i="83"/>
  <c r="AV66" i="83"/>
  <c r="AW66" i="83"/>
  <c r="AX66" i="83"/>
  <c r="AT67" i="83"/>
  <c r="AV67" i="83"/>
  <c r="AW67" i="83"/>
  <c r="AX67" i="83"/>
  <c r="AT68" i="83"/>
  <c r="AV68" i="83"/>
  <c r="AW68" i="83"/>
  <c r="AX68" i="83"/>
  <c r="AT69" i="83"/>
  <c r="AV69" i="83"/>
  <c r="AW69" i="83"/>
  <c r="AX69" i="83"/>
  <c r="AT70" i="83"/>
  <c r="AV70" i="83"/>
  <c r="AW70" i="83"/>
  <c r="AX70" i="83"/>
  <c r="AT71" i="83"/>
  <c r="AV71" i="83"/>
  <c r="AW71" i="83"/>
  <c r="AX71" i="83"/>
  <c r="AT72" i="83"/>
  <c r="AV72" i="83"/>
  <c r="AW72" i="83"/>
  <c r="AX72" i="83"/>
  <c r="AT73" i="83"/>
  <c r="AV73" i="83"/>
  <c r="AW73" i="83"/>
  <c r="AX73" i="83"/>
  <c r="AT74" i="83"/>
  <c r="AV74" i="83"/>
  <c r="AW74" i="83"/>
  <c r="AX74" i="83"/>
  <c r="AT75" i="83"/>
  <c r="AV75" i="83"/>
  <c r="AW75" i="83"/>
  <c r="AX75" i="83"/>
  <c r="AT76" i="83"/>
  <c r="AV76" i="83"/>
  <c r="AW76" i="83"/>
  <c r="AX76" i="83"/>
  <c r="AT77" i="83"/>
  <c r="AV77" i="83"/>
  <c r="AW77" i="83"/>
  <c r="AX77" i="83"/>
  <c r="AT78" i="83"/>
  <c r="AV78" i="83"/>
  <c r="AW78" i="83"/>
  <c r="AX78" i="83"/>
  <c r="AT79" i="83"/>
  <c r="AV79" i="83"/>
  <c r="AW79" i="83"/>
  <c r="AX79" i="83"/>
  <c r="AT80" i="83"/>
  <c r="AV80" i="83"/>
  <c r="AW80" i="83"/>
  <c r="AX80" i="83"/>
  <c r="AT81" i="83"/>
  <c r="AV81" i="83"/>
  <c r="AW81" i="83"/>
  <c r="AX81" i="83"/>
  <c r="AT82" i="83"/>
  <c r="AV82" i="83"/>
  <c r="AW82" i="83"/>
  <c r="AX82" i="83"/>
  <c r="AT83" i="83"/>
  <c r="AV83" i="83"/>
  <c r="AW83" i="83"/>
  <c r="AX83" i="83"/>
  <c r="AT84" i="83"/>
  <c r="AV84" i="83"/>
  <c r="AW84" i="83"/>
  <c r="AX84" i="83"/>
  <c r="AT85" i="83"/>
  <c r="AV85" i="83"/>
  <c r="AW85" i="83"/>
  <c r="AX85" i="83"/>
  <c r="AT86" i="83"/>
  <c r="AV86" i="83"/>
  <c r="AW86" i="83"/>
  <c r="AX86" i="83"/>
  <c r="AT87" i="83"/>
  <c r="AV87" i="83"/>
  <c r="AW87" i="83"/>
  <c r="AX87" i="83"/>
  <c r="AT88" i="83"/>
  <c r="AV88" i="83"/>
  <c r="AW88" i="83"/>
  <c r="AX88" i="83"/>
  <c r="AT89" i="83"/>
  <c r="AV89" i="83"/>
  <c r="AW89" i="83"/>
  <c r="AX89" i="83"/>
  <c r="AT90" i="83"/>
  <c r="AV90" i="83"/>
  <c r="AW90" i="83"/>
  <c r="AX90" i="83"/>
  <c r="AT91" i="83"/>
  <c r="AV91" i="83"/>
  <c r="AW91" i="83"/>
  <c r="AX91" i="83"/>
  <c r="AT92" i="83"/>
  <c r="AV92" i="83"/>
  <c r="AW92" i="83"/>
  <c r="AX92" i="83"/>
  <c r="AT93" i="83"/>
  <c r="AV93" i="83"/>
  <c r="AW93" i="83"/>
  <c r="AX93" i="83"/>
  <c r="AT94" i="83"/>
  <c r="AV94" i="83"/>
  <c r="AW94" i="83"/>
  <c r="AX94" i="83"/>
  <c r="AT95" i="83"/>
  <c r="AV95" i="83"/>
  <c r="AW95" i="83"/>
  <c r="AX95" i="83"/>
  <c r="AT96" i="83"/>
  <c r="AV96" i="83"/>
  <c r="AW96" i="83"/>
  <c r="AX96" i="83"/>
  <c r="AT97" i="83"/>
  <c r="AV97" i="83"/>
  <c r="AW97" i="83"/>
  <c r="AX97" i="83"/>
  <c r="AT98" i="83"/>
  <c r="AV98" i="83"/>
  <c r="AW98" i="83"/>
  <c r="AX98" i="83"/>
  <c r="AT99" i="83"/>
  <c r="AV99" i="83"/>
  <c r="AW99" i="83"/>
  <c r="AX99" i="83"/>
  <c r="AT100" i="83"/>
  <c r="AV100" i="83"/>
  <c r="AW100" i="83"/>
  <c r="AX100" i="83"/>
  <c r="AT101" i="83"/>
  <c r="AV101" i="83"/>
  <c r="AW101" i="83"/>
  <c r="AX101" i="83"/>
  <c r="AT102" i="83"/>
  <c r="AV102" i="83"/>
  <c r="AW102" i="83"/>
  <c r="AX102" i="83"/>
  <c r="AT103" i="83"/>
  <c r="AV103" i="83"/>
  <c r="AW103" i="83"/>
  <c r="AX103" i="83"/>
  <c r="AT104" i="83"/>
  <c r="AV104" i="83"/>
  <c r="AW104" i="83"/>
  <c r="AX104" i="83"/>
  <c r="AT105" i="83"/>
  <c r="AV105" i="83"/>
  <c r="AW105" i="83"/>
  <c r="AX105" i="83"/>
  <c r="AT106" i="83"/>
  <c r="AV106" i="83"/>
  <c r="AW106" i="83"/>
  <c r="AX106" i="83"/>
  <c r="AT107" i="83"/>
  <c r="AV107" i="83"/>
  <c r="AW107" i="83"/>
  <c r="AX107" i="83"/>
  <c r="AT108" i="83"/>
  <c r="AV108" i="83"/>
  <c r="AW108" i="83"/>
  <c r="AX108" i="83"/>
  <c r="AT109" i="83"/>
  <c r="AV109" i="83"/>
  <c r="AW109" i="83"/>
  <c r="AX109" i="83"/>
  <c r="AT110" i="83"/>
  <c r="AV110" i="83"/>
  <c r="AW110" i="83"/>
  <c r="AX110" i="83"/>
  <c r="AT111" i="83"/>
  <c r="AV111" i="83"/>
  <c r="AW111" i="83"/>
  <c r="AX111" i="83"/>
  <c r="AZ4" i="83"/>
  <c r="AZ111" i="83"/>
  <c r="AZ110" i="83"/>
  <c r="AZ109" i="83"/>
  <c r="AZ108" i="83"/>
  <c r="AZ107" i="83"/>
  <c r="AZ106" i="83"/>
  <c r="AZ105" i="83"/>
  <c r="AZ104" i="83"/>
  <c r="AZ103" i="83"/>
  <c r="AZ102" i="83"/>
  <c r="AZ101" i="83"/>
  <c r="AZ100" i="83"/>
  <c r="AZ99" i="83"/>
  <c r="AZ98" i="83"/>
  <c r="AZ97" i="83"/>
  <c r="AZ96" i="83"/>
  <c r="AZ95" i="83"/>
  <c r="AZ94" i="83"/>
  <c r="AZ93" i="83"/>
  <c r="AZ92" i="83"/>
  <c r="AZ91" i="83"/>
  <c r="AZ90" i="83"/>
  <c r="AZ89" i="83"/>
  <c r="AZ88" i="83"/>
  <c r="AZ87" i="83"/>
  <c r="AZ86" i="83"/>
  <c r="AZ85" i="83"/>
  <c r="AZ84" i="83"/>
  <c r="AZ83" i="83"/>
  <c r="AZ82" i="83"/>
  <c r="AZ81" i="83"/>
  <c r="AZ80" i="83"/>
  <c r="AZ79" i="83"/>
  <c r="AZ78" i="83"/>
  <c r="AZ77" i="83"/>
  <c r="AZ76" i="83"/>
  <c r="AZ75" i="83"/>
  <c r="AZ74" i="83"/>
  <c r="AZ73" i="83"/>
  <c r="AZ72" i="83"/>
  <c r="AZ71" i="83"/>
  <c r="AZ70" i="83"/>
  <c r="AZ69" i="83"/>
  <c r="AZ68" i="83"/>
  <c r="AZ67" i="83"/>
  <c r="AZ66" i="83"/>
  <c r="AZ65" i="83"/>
  <c r="AZ64" i="83"/>
  <c r="AZ63" i="83"/>
  <c r="AZ62" i="83"/>
  <c r="AZ61" i="83"/>
  <c r="AZ60" i="83"/>
  <c r="AZ59" i="83"/>
  <c r="AZ58" i="83"/>
  <c r="AZ57" i="83"/>
  <c r="AZ56" i="83"/>
  <c r="AZ55" i="83"/>
  <c r="AZ54" i="83"/>
  <c r="AZ53" i="83"/>
  <c r="AZ52" i="83"/>
  <c r="AZ51" i="83"/>
  <c r="AZ50" i="83"/>
  <c r="AZ49" i="83"/>
  <c r="AZ48" i="83"/>
  <c r="AZ47" i="83"/>
  <c r="AZ46" i="83"/>
  <c r="AZ45" i="83"/>
  <c r="AZ44" i="83"/>
  <c r="AZ43" i="83"/>
  <c r="AZ42" i="83"/>
  <c r="AZ41" i="83"/>
  <c r="AZ40" i="83"/>
  <c r="AZ39" i="83"/>
  <c r="AZ38" i="83"/>
  <c r="AZ37" i="83"/>
  <c r="AZ36" i="83"/>
  <c r="AZ35" i="83"/>
  <c r="AZ34" i="83"/>
  <c r="O39" i="83"/>
  <c r="H39" i="83"/>
  <c r="AZ33" i="83"/>
  <c r="AZ32" i="83"/>
  <c r="I36" i="83"/>
  <c r="AZ31" i="83"/>
  <c r="I35" i="83"/>
  <c r="I34" i="83"/>
  <c r="S28" i="83"/>
  <c r="S25" i="83"/>
  <c r="S33" i="83"/>
  <c r="W33" i="83"/>
  <c r="I33" i="83"/>
  <c r="AZ30" i="83"/>
  <c r="S27" i="83"/>
  <c r="S32" i="83"/>
  <c r="W32" i="83"/>
  <c r="AZ29" i="83"/>
  <c r="S26" i="83"/>
  <c r="S31" i="83"/>
  <c r="W31" i="83"/>
  <c r="I25" i="83"/>
  <c r="AZ5" i="83"/>
  <c r="AZ6" i="83"/>
  <c r="AZ7" i="83"/>
  <c r="AZ8" i="83"/>
  <c r="AZ9" i="83"/>
  <c r="AZ10" i="83"/>
  <c r="AZ11" i="83"/>
  <c r="AZ12" i="83"/>
  <c r="AZ13" i="83"/>
  <c r="AZ14" i="83"/>
  <c r="AZ15" i="83"/>
  <c r="AZ16" i="83"/>
  <c r="AZ17" i="83"/>
  <c r="AZ18" i="83"/>
  <c r="AZ19" i="83"/>
  <c r="AZ20" i="83"/>
  <c r="AZ21" i="83"/>
  <c r="AZ22" i="83"/>
  <c r="AZ23" i="83"/>
  <c r="AZ24" i="83"/>
  <c r="AZ25" i="83"/>
  <c r="AZ26" i="83"/>
  <c r="AZ27" i="83"/>
  <c r="AZ28" i="83"/>
  <c r="BA5" i="83"/>
  <c r="R15" i="83"/>
  <c r="S15" i="83"/>
  <c r="T15" i="83"/>
  <c r="V15" i="83"/>
  <c r="I26" i="83"/>
  <c r="G31" i="83"/>
  <c r="I24" i="83"/>
  <c r="G30" i="83"/>
  <c r="S29" i="83"/>
  <c r="W29" i="83"/>
  <c r="I23" i="83"/>
  <c r="G29" i="83"/>
  <c r="W28" i="83"/>
  <c r="W27" i="83"/>
  <c r="I27" i="83"/>
  <c r="W26" i="83"/>
  <c r="W21" i="83"/>
  <c r="V21" i="83"/>
  <c r="T21" i="83"/>
  <c r="S21" i="83"/>
  <c r="W20" i="83"/>
  <c r="V20" i="83"/>
  <c r="T20" i="83"/>
  <c r="S20" i="83"/>
  <c r="W18" i="83"/>
  <c r="V18" i="83"/>
  <c r="T18" i="83"/>
  <c r="S18" i="83"/>
  <c r="W17" i="83"/>
  <c r="V17" i="83"/>
  <c r="T17" i="83"/>
  <c r="S17" i="83"/>
  <c r="U11" i="83"/>
  <c r="BB5" i="83"/>
  <c r="H18" i="5"/>
  <c r="K18" i="5"/>
  <c r="G41" i="51"/>
  <c r="G40" i="51"/>
  <c r="E33" i="51"/>
  <c r="E34" i="51"/>
  <c r="E35" i="51"/>
  <c r="E25" i="51"/>
  <c r="E28" i="51"/>
  <c r="E30" i="51"/>
  <c r="E36" i="51"/>
  <c r="E26" i="51"/>
  <c r="E29" i="51"/>
  <c r="E9" i="51"/>
  <c r="E31" i="51"/>
  <c r="E37" i="51"/>
  <c r="E42" i="51"/>
  <c r="E41" i="51"/>
  <c r="E40" i="51"/>
  <c r="E10" i="51"/>
  <c r="E14" i="51"/>
  <c r="E16" i="51"/>
  <c r="E18" i="51"/>
  <c r="E19" i="51"/>
  <c r="E38" i="51"/>
  <c r="F12" i="2"/>
  <c r="BB18" i="5"/>
  <c r="BA18" i="5"/>
  <c r="AZ18" i="5"/>
  <c r="AY18" i="5"/>
  <c r="AX18" i="5"/>
  <c r="AS18" i="5"/>
  <c r="AR18" i="5"/>
  <c r="AQ18" i="5"/>
  <c r="AP18" i="5"/>
  <c r="AO18" i="5"/>
  <c r="AN18" i="5"/>
  <c r="AM18" i="5"/>
  <c r="AL18" i="5"/>
  <c r="AK18" i="5"/>
  <c r="AJ18" i="5"/>
  <c r="AI18" i="5"/>
  <c r="AH18" i="5"/>
  <c r="AG18" i="5"/>
  <c r="AF18" i="5"/>
  <c r="AE18" i="5"/>
  <c r="AD18" i="5"/>
  <c r="AC18" i="5"/>
  <c r="AB18" i="5"/>
  <c r="AA18" i="5"/>
  <c r="Z18" i="5"/>
  <c r="X18" i="5"/>
  <c r="W18" i="5"/>
  <c r="V18" i="5"/>
  <c r="U18" i="5"/>
  <c r="S18" i="5"/>
  <c r="R18" i="5"/>
  <c r="Q18" i="5"/>
  <c r="P18" i="5"/>
  <c r="O18" i="5"/>
  <c r="N18" i="5"/>
  <c r="M18" i="5"/>
  <c r="J18" i="5"/>
  <c r="I18" i="5"/>
  <c r="G18" i="5"/>
  <c r="F18" i="5"/>
  <c r="E18" i="5"/>
  <c r="D18" i="5"/>
  <c r="C18" i="5"/>
  <c r="D37" i="53"/>
  <c r="R5" i="53"/>
  <c r="S5" i="53"/>
  <c r="G37" i="53"/>
  <c r="T5" i="53"/>
  <c r="V5" i="53"/>
  <c r="AB7" i="53"/>
  <c r="AB14" i="53"/>
  <c r="S10" i="53"/>
  <c r="T10" i="53"/>
  <c r="I22" i="53"/>
  <c r="AS5" i="53"/>
  <c r="AS6" i="53"/>
  <c r="Q37" i="53"/>
  <c r="AT4" i="53"/>
  <c r="AU4" i="53"/>
  <c r="AT5" i="53"/>
  <c r="AV5" i="53"/>
  <c r="AW5" i="53"/>
  <c r="AX5" i="53"/>
  <c r="J37" i="53"/>
  <c r="AY5" i="53"/>
  <c r="AZ5" i="53"/>
  <c r="AS7" i="53"/>
  <c r="AT6" i="53"/>
  <c r="AV6" i="53"/>
  <c r="AW6" i="53"/>
  <c r="AX6" i="53"/>
  <c r="AY6" i="53"/>
  <c r="AZ6" i="53"/>
  <c r="AS8" i="53"/>
  <c r="AT7" i="53"/>
  <c r="AV7" i="53"/>
  <c r="AW7" i="53"/>
  <c r="AX7" i="53"/>
  <c r="AY7" i="53"/>
  <c r="AZ7" i="53"/>
  <c r="AS9" i="53"/>
  <c r="AT8" i="53"/>
  <c r="AV8" i="53"/>
  <c r="AW8" i="53"/>
  <c r="AX8" i="53"/>
  <c r="AY8" i="53"/>
  <c r="AZ8" i="53"/>
  <c r="AS10" i="53"/>
  <c r="AT9" i="53"/>
  <c r="AV9" i="53"/>
  <c r="AW9" i="53"/>
  <c r="AX9" i="53"/>
  <c r="AY9" i="53"/>
  <c r="AZ9" i="53"/>
  <c r="AS11" i="53"/>
  <c r="AT10" i="53"/>
  <c r="AV10" i="53"/>
  <c r="AW10" i="53"/>
  <c r="AX10" i="53"/>
  <c r="AY10" i="53"/>
  <c r="AZ10" i="53"/>
  <c r="AS12" i="53"/>
  <c r="AT11" i="53"/>
  <c r="AV11" i="53"/>
  <c r="AW11" i="53"/>
  <c r="AX11" i="53"/>
  <c r="AY11" i="53"/>
  <c r="AZ11" i="53"/>
  <c r="AS13" i="53"/>
  <c r="AT12" i="53"/>
  <c r="AV12" i="53"/>
  <c r="AW12" i="53"/>
  <c r="AX12" i="53"/>
  <c r="AY12" i="53"/>
  <c r="AZ12" i="53"/>
  <c r="AS14" i="53"/>
  <c r="AT13" i="53"/>
  <c r="AV13" i="53"/>
  <c r="AW13" i="53"/>
  <c r="AX13" i="53"/>
  <c r="AY13" i="53"/>
  <c r="AZ13" i="53"/>
  <c r="AS15" i="53"/>
  <c r="AT14" i="53"/>
  <c r="AV14" i="53"/>
  <c r="AW14" i="53"/>
  <c r="AX14" i="53"/>
  <c r="AY14" i="53"/>
  <c r="AZ14" i="53"/>
  <c r="AS16" i="53"/>
  <c r="AT15" i="53"/>
  <c r="AV15" i="53"/>
  <c r="AW15" i="53"/>
  <c r="AX15" i="53"/>
  <c r="AY15" i="53"/>
  <c r="AZ15" i="53"/>
  <c r="AS17" i="53"/>
  <c r="AT16" i="53"/>
  <c r="AV16" i="53"/>
  <c r="AW16" i="53"/>
  <c r="AX16" i="53"/>
  <c r="AY16" i="53"/>
  <c r="AZ16" i="53"/>
  <c r="AS18" i="53"/>
  <c r="AT17" i="53"/>
  <c r="AV17" i="53"/>
  <c r="AW17" i="53"/>
  <c r="AX17" i="53"/>
  <c r="AY17" i="53"/>
  <c r="AZ17" i="53"/>
  <c r="AS19" i="53"/>
  <c r="AT18" i="53"/>
  <c r="AV18" i="53"/>
  <c r="AW18" i="53"/>
  <c r="AX18" i="53"/>
  <c r="AY18" i="53"/>
  <c r="AZ18" i="53"/>
  <c r="AS20" i="53"/>
  <c r="AT19" i="53"/>
  <c r="AV19" i="53"/>
  <c r="AW19" i="53"/>
  <c r="AX19" i="53"/>
  <c r="AY19" i="53"/>
  <c r="AZ19" i="53"/>
  <c r="AS21" i="53"/>
  <c r="AT20" i="53"/>
  <c r="AV20" i="53"/>
  <c r="AW20" i="53"/>
  <c r="AX20" i="53"/>
  <c r="AY20" i="53"/>
  <c r="AZ20" i="53"/>
  <c r="AS22" i="53"/>
  <c r="AT21" i="53"/>
  <c r="AV21" i="53"/>
  <c r="AW21" i="53"/>
  <c r="AX21" i="53"/>
  <c r="AY21" i="53"/>
  <c r="AZ21" i="53"/>
  <c r="AS23" i="53"/>
  <c r="AT22" i="53"/>
  <c r="AV22" i="53"/>
  <c r="AW22" i="53"/>
  <c r="AX22" i="53"/>
  <c r="AY22" i="53"/>
  <c r="AZ22" i="53"/>
  <c r="AS24" i="53"/>
  <c r="AT23" i="53"/>
  <c r="AV23" i="53"/>
  <c r="AW23" i="53"/>
  <c r="AX23" i="53"/>
  <c r="AY23" i="53"/>
  <c r="AZ23" i="53"/>
  <c r="AS25" i="53"/>
  <c r="AT24" i="53"/>
  <c r="AV24" i="53"/>
  <c r="AW24" i="53"/>
  <c r="AX24" i="53"/>
  <c r="AY24" i="53"/>
  <c r="AZ24" i="53"/>
  <c r="AZ25" i="53"/>
  <c r="AS26" i="53"/>
  <c r="AZ26" i="53"/>
  <c r="AS27" i="53"/>
  <c r="AZ27" i="53"/>
  <c r="AS28" i="53"/>
  <c r="AZ28" i="53"/>
  <c r="AS29" i="53"/>
  <c r="AZ29" i="53"/>
  <c r="AS30" i="53"/>
  <c r="AZ30" i="53"/>
  <c r="AS33" i="53"/>
  <c r="AZ33" i="53"/>
  <c r="AS35" i="53"/>
  <c r="AZ35" i="53"/>
  <c r="AS36" i="53"/>
  <c r="AZ36" i="53"/>
  <c r="AS37" i="53"/>
  <c r="AZ37" i="53"/>
  <c r="AS38" i="53"/>
  <c r="AZ38" i="53"/>
  <c r="AS39" i="53"/>
  <c r="AZ39" i="53"/>
  <c r="AS40" i="53"/>
  <c r="AZ40" i="53"/>
  <c r="AS41" i="53"/>
  <c r="AZ41" i="53"/>
  <c r="AS42" i="53"/>
  <c r="AZ42" i="53"/>
  <c r="AS43" i="53"/>
  <c r="AZ43" i="53"/>
  <c r="AS44" i="53"/>
  <c r="AZ44" i="53"/>
  <c r="AS45" i="53"/>
  <c r="AZ45" i="53"/>
  <c r="AS46" i="53"/>
  <c r="AZ46" i="53"/>
  <c r="AS47" i="53"/>
  <c r="AZ47" i="53"/>
  <c r="AS48" i="53"/>
  <c r="AZ48" i="53"/>
  <c r="AS49" i="53"/>
  <c r="AZ49" i="53"/>
  <c r="AS50" i="53"/>
  <c r="AZ50" i="53"/>
  <c r="AS51" i="53"/>
  <c r="AZ51" i="53"/>
  <c r="AS52" i="53"/>
  <c r="AZ52" i="53"/>
  <c r="AS53" i="53"/>
  <c r="AZ53" i="53"/>
  <c r="AS54" i="53"/>
  <c r="AZ54" i="53"/>
  <c r="AS55" i="53"/>
  <c r="AZ55" i="53"/>
  <c r="AS56" i="53"/>
  <c r="AZ56" i="53"/>
  <c r="AS57" i="53"/>
  <c r="AZ57" i="53"/>
  <c r="AS58" i="53"/>
  <c r="AZ58" i="53"/>
  <c r="AS59" i="53"/>
  <c r="AZ59" i="53"/>
  <c r="AS60" i="53"/>
  <c r="AZ60" i="53"/>
  <c r="AS61" i="53"/>
  <c r="AZ61" i="53"/>
  <c r="AS62" i="53"/>
  <c r="AZ62" i="53"/>
  <c r="AS63" i="53"/>
  <c r="AZ63" i="53"/>
  <c r="AS64" i="53"/>
  <c r="AZ64" i="53"/>
  <c r="AS65" i="53"/>
  <c r="AZ65" i="53"/>
  <c r="AS66" i="53"/>
  <c r="AZ66" i="53"/>
  <c r="AS67" i="53"/>
  <c r="AZ67" i="53"/>
  <c r="AS68" i="53"/>
  <c r="AZ68" i="53"/>
  <c r="AS69" i="53"/>
  <c r="AZ69" i="53"/>
  <c r="AS70" i="53"/>
  <c r="AZ70" i="53"/>
  <c r="AS71" i="53"/>
  <c r="AZ71" i="53"/>
  <c r="AS72" i="53"/>
  <c r="AZ72" i="53"/>
  <c r="AS73" i="53"/>
  <c r="AZ73" i="53"/>
  <c r="AS74" i="53"/>
  <c r="AZ74" i="53"/>
  <c r="AS75" i="53"/>
  <c r="AZ75" i="53"/>
  <c r="AS76" i="53"/>
  <c r="AZ76" i="53"/>
  <c r="AS77" i="53"/>
  <c r="AZ77" i="53"/>
  <c r="AS78" i="53"/>
  <c r="AZ78" i="53"/>
  <c r="AS79" i="53"/>
  <c r="AZ79" i="53"/>
  <c r="AS80" i="53"/>
  <c r="AZ80" i="53"/>
  <c r="AS81" i="53"/>
  <c r="AZ81" i="53"/>
  <c r="AS82" i="53"/>
  <c r="AZ82" i="53"/>
  <c r="AS83" i="53"/>
  <c r="AZ83" i="53"/>
  <c r="AS84" i="53"/>
  <c r="AZ84" i="53"/>
  <c r="AS85" i="53"/>
  <c r="AZ85" i="53"/>
  <c r="AS86" i="53"/>
  <c r="AZ86" i="53"/>
  <c r="AS87" i="53"/>
  <c r="AZ87" i="53"/>
  <c r="AS88" i="53"/>
  <c r="AZ88" i="53"/>
  <c r="AS89" i="53"/>
  <c r="AZ89" i="53"/>
  <c r="AS90" i="53"/>
  <c r="AZ90" i="53"/>
  <c r="AS91" i="53"/>
  <c r="AZ91" i="53"/>
  <c r="AS92" i="53"/>
  <c r="AZ92" i="53"/>
  <c r="AS93" i="53"/>
  <c r="AZ93" i="53"/>
  <c r="AS94" i="53"/>
  <c r="AZ94" i="53"/>
  <c r="AS95" i="53"/>
  <c r="AZ95" i="53"/>
  <c r="AS96" i="53"/>
  <c r="AZ96" i="53"/>
  <c r="AS97" i="53"/>
  <c r="AZ97" i="53"/>
  <c r="AS98" i="53"/>
  <c r="AZ98" i="53"/>
  <c r="AS99" i="53"/>
  <c r="AZ99" i="53"/>
  <c r="AS100" i="53"/>
  <c r="AZ100" i="53"/>
  <c r="AS101" i="53"/>
  <c r="AZ101" i="53"/>
  <c r="AS102" i="53"/>
  <c r="AZ102" i="53"/>
  <c r="AS103" i="53"/>
  <c r="AZ103" i="53"/>
  <c r="AS104" i="53"/>
  <c r="AZ104" i="53"/>
  <c r="AS105" i="53"/>
  <c r="AZ105" i="53"/>
  <c r="AS106" i="53"/>
  <c r="AZ106" i="53"/>
  <c r="AS107" i="53"/>
  <c r="AZ107" i="53"/>
  <c r="AS108" i="53"/>
  <c r="AZ108" i="53"/>
  <c r="AS109" i="53"/>
  <c r="AZ109" i="53"/>
  <c r="AS110" i="53"/>
  <c r="AZ110" i="53"/>
  <c r="AS111" i="53"/>
  <c r="AZ111" i="53"/>
  <c r="AS112" i="53"/>
  <c r="AZ112" i="53"/>
  <c r="AS113" i="53"/>
  <c r="AZ113" i="53"/>
  <c r="AS114" i="53"/>
  <c r="AZ114" i="53"/>
  <c r="BA5" i="53"/>
  <c r="R14" i="53"/>
  <c r="AX4" i="53"/>
  <c r="AY4" i="53"/>
  <c r="AZ4" i="53"/>
  <c r="S14" i="53"/>
  <c r="T14" i="53"/>
  <c r="V14" i="53"/>
  <c r="W19" i="53"/>
  <c r="R6" i="53"/>
  <c r="S6" i="53"/>
  <c r="W37" i="53"/>
  <c r="V37" i="53"/>
  <c r="T6" i="53"/>
  <c r="S12" i="53"/>
  <c r="T12" i="53"/>
  <c r="R37" i="53"/>
  <c r="S26" i="53"/>
  <c r="S25" i="53"/>
  <c r="AB6" i="53"/>
  <c r="AB13" i="53"/>
  <c r="S9" i="53"/>
  <c r="T9" i="53"/>
  <c r="S24" i="53"/>
  <c r="AB8" i="53"/>
  <c r="AB15" i="53"/>
  <c r="S37" i="53"/>
  <c r="U37" i="53"/>
  <c r="T11" i="53"/>
  <c r="W18" i="53"/>
  <c r="W17" i="53"/>
  <c r="W16" i="53"/>
  <c r="V19" i="53"/>
  <c r="T19" i="53"/>
  <c r="S19" i="53"/>
  <c r="V18" i="53"/>
  <c r="T18" i="53"/>
  <c r="S18" i="53"/>
  <c r="V17" i="53"/>
  <c r="T17" i="53"/>
  <c r="S17" i="53"/>
  <c r="V16" i="53"/>
  <c r="T16" i="53"/>
  <c r="S16" i="53"/>
  <c r="I34" i="53"/>
  <c r="V11" i="53"/>
  <c r="I33" i="53"/>
  <c r="V10" i="53"/>
  <c r="I32" i="53"/>
  <c r="V9" i="53"/>
  <c r="I31" i="53"/>
  <c r="I23" i="53"/>
  <c r="I21" i="53"/>
  <c r="S23" i="53"/>
  <c r="S31" i="53"/>
  <c r="S30" i="53"/>
  <c r="S29" i="53"/>
  <c r="I24" i="53"/>
  <c r="G29" i="53"/>
  <c r="G28" i="53"/>
  <c r="G27" i="53"/>
  <c r="I25" i="53"/>
  <c r="M15" i="50"/>
  <c r="M14" i="50"/>
  <c r="M13" i="50"/>
  <c r="M12" i="50"/>
  <c r="M11" i="50"/>
  <c r="M10" i="50"/>
  <c r="M9" i="50"/>
  <c r="M8" i="50"/>
  <c r="M7" i="50"/>
  <c r="J18" i="50"/>
  <c r="J17" i="50"/>
  <c r="J16" i="50"/>
  <c r="J15" i="50"/>
  <c r="J14" i="50"/>
  <c r="J12" i="50"/>
  <c r="J11" i="50"/>
  <c r="J10" i="50"/>
  <c r="J9" i="50"/>
  <c r="J8" i="50"/>
  <c r="J7" i="50"/>
  <c r="G18" i="50"/>
  <c r="G17" i="50"/>
  <c r="G16" i="50"/>
  <c r="G15" i="50"/>
  <c r="G14" i="50"/>
  <c r="G11" i="50"/>
  <c r="G10" i="50"/>
  <c r="G9" i="50"/>
  <c r="G8" i="50"/>
  <c r="G7" i="50"/>
  <c r="D17" i="50"/>
  <c r="D16" i="50"/>
  <c r="D15" i="50"/>
  <c r="D14" i="50"/>
  <c r="D11" i="50"/>
  <c r="D10" i="50"/>
  <c r="D7" i="50"/>
  <c r="C25" i="51"/>
  <c r="C26" i="51"/>
  <c r="W33" i="53"/>
  <c r="U11" i="53"/>
  <c r="AE6" i="53"/>
  <c r="AE8" i="53"/>
  <c r="AT114" i="53"/>
  <c r="AV114" i="53"/>
  <c r="AW114" i="53"/>
  <c r="AX114" i="53"/>
  <c r="AY114" i="53"/>
  <c r="AT113" i="53"/>
  <c r="AV113" i="53"/>
  <c r="AW113" i="53"/>
  <c r="AX113" i="53"/>
  <c r="AY113" i="53"/>
  <c r="AT112" i="53"/>
  <c r="AV112" i="53"/>
  <c r="AW112" i="53"/>
  <c r="AX112" i="53"/>
  <c r="AY112" i="53"/>
  <c r="AT111" i="53"/>
  <c r="AV111" i="53"/>
  <c r="AW111" i="53"/>
  <c r="AX111" i="53"/>
  <c r="AY111" i="53"/>
  <c r="AT110" i="53"/>
  <c r="AV110" i="53"/>
  <c r="AW110" i="53"/>
  <c r="AX110" i="53"/>
  <c r="AY110" i="53"/>
  <c r="AT109" i="53"/>
  <c r="AV109" i="53"/>
  <c r="AW109" i="53"/>
  <c r="AX109" i="53"/>
  <c r="AY109" i="53"/>
  <c r="AT108" i="53"/>
  <c r="AV108" i="53"/>
  <c r="AW108" i="53"/>
  <c r="AX108" i="53"/>
  <c r="AY108" i="53"/>
  <c r="AT107" i="53"/>
  <c r="AV107" i="53"/>
  <c r="AW107" i="53"/>
  <c r="AX107" i="53"/>
  <c r="AY107" i="53"/>
  <c r="AT106" i="53"/>
  <c r="AV106" i="53"/>
  <c r="AW106" i="53"/>
  <c r="AX106" i="53"/>
  <c r="AY106" i="53"/>
  <c r="AT105" i="53"/>
  <c r="AV105" i="53"/>
  <c r="AW105" i="53"/>
  <c r="AX105" i="53"/>
  <c r="AY105" i="53"/>
  <c r="AT104" i="53"/>
  <c r="AV104" i="53"/>
  <c r="AW104" i="53"/>
  <c r="AX104" i="53"/>
  <c r="AY104" i="53"/>
  <c r="AT103" i="53"/>
  <c r="AV103" i="53"/>
  <c r="AW103" i="53"/>
  <c r="AX103" i="53"/>
  <c r="AY103" i="53"/>
  <c r="AT102" i="53"/>
  <c r="AV102" i="53"/>
  <c r="AW102" i="53"/>
  <c r="AX102" i="53"/>
  <c r="AY102" i="53"/>
  <c r="AT101" i="53"/>
  <c r="AV101" i="53"/>
  <c r="AW101" i="53"/>
  <c r="AX101" i="53"/>
  <c r="AY101" i="53"/>
  <c r="AT100" i="53"/>
  <c r="AV100" i="53"/>
  <c r="AW100" i="53"/>
  <c r="AX100" i="53"/>
  <c r="AY100" i="53"/>
  <c r="AT99" i="53"/>
  <c r="AV99" i="53"/>
  <c r="AW99" i="53"/>
  <c r="AX99" i="53"/>
  <c r="AY99" i="53"/>
  <c r="AT98" i="53"/>
  <c r="AV98" i="53"/>
  <c r="AW98" i="53"/>
  <c r="AX98" i="53"/>
  <c r="AY98" i="53"/>
  <c r="AT97" i="53"/>
  <c r="AV97" i="53"/>
  <c r="AW97" i="53"/>
  <c r="AX97" i="53"/>
  <c r="AY97" i="53"/>
  <c r="AT96" i="53"/>
  <c r="AV96" i="53"/>
  <c r="AW96" i="53"/>
  <c r="AX96" i="53"/>
  <c r="AY96" i="53"/>
  <c r="AT95" i="53"/>
  <c r="AV95" i="53"/>
  <c r="AW95" i="53"/>
  <c r="AX95" i="53"/>
  <c r="AY95" i="53"/>
  <c r="AT94" i="53"/>
  <c r="AV94" i="53"/>
  <c r="AW94" i="53"/>
  <c r="AX94" i="53"/>
  <c r="AY94" i="53"/>
  <c r="AT93" i="53"/>
  <c r="AV93" i="53"/>
  <c r="AW93" i="53"/>
  <c r="AX93" i="53"/>
  <c r="AY93" i="53"/>
  <c r="AT92" i="53"/>
  <c r="AV92" i="53"/>
  <c r="AW92" i="53"/>
  <c r="AX92" i="53"/>
  <c r="AY92" i="53"/>
  <c r="AT91" i="53"/>
  <c r="AV91" i="53"/>
  <c r="AW91" i="53"/>
  <c r="AX91" i="53"/>
  <c r="AY91" i="53"/>
  <c r="AT90" i="53"/>
  <c r="AV90" i="53"/>
  <c r="AW90" i="53"/>
  <c r="AX90" i="53"/>
  <c r="AY90" i="53"/>
  <c r="AT89" i="53"/>
  <c r="AV89" i="53"/>
  <c r="AW89" i="53"/>
  <c r="AX89" i="53"/>
  <c r="AY89" i="53"/>
  <c r="AT88" i="53"/>
  <c r="AV88" i="53"/>
  <c r="AW88" i="53"/>
  <c r="AX88" i="53"/>
  <c r="AY88" i="53"/>
  <c r="AT87" i="53"/>
  <c r="AV87" i="53"/>
  <c r="AW87" i="53"/>
  <c r="AX87" i="53"/>
  <c r="AY87" i="53"/>
  <c r="AT86" i="53"/>
  <c r="AV86" i="53"/>
  <c r="AW86" i="53"/>
  <c r="AX86" i="53"/>
  <c r="AY86" i="53"/>
  <c r="AT85" i="53"/>
  <c r="AV85" i="53"/>
  <c r="AW85" i="53"/>
  <c r="AX85" i="53"/>
  <c r="AY85" i="53"/>
  <c r="AT84" i="53"/>
  <c r="AV84" i="53"/>
  <c r="AW84" i="53"/>
  <c r="AX84" i="53"/>
  <c r="AY84" i="53"/>
  <c r="AT83" i="53"/>
  <c r="AV83" i="53"/>
  <c r="AW83" i="53"/>
  <c r="AX83" i="53"/>
  <c r="AY83" i="53"/>
  <c r="AT82" i="53"/>
  <c r="AV82" i="53"/>
  <c r="AW82" i="53"/>
  <c r="AX82" i="53"/>
  <c r="AY82" i="53"/>
  <c r="AT81" i="53"/>
  <c r="AV81" i="53"/>
  <c r="AW81" i="53"/>
  <c r="AX81" i="53"/>
  <c r="AY81" i="53"/>
  <c r="AT80" i="53"/>
  <c r="AV80" i="53"/>
  <c r="AW80" i="53"/>
  <c r="AX80" i="53"/>
  <c r="AY80" i="53"/>
  <c r="AT79" i="53"/>
  <c r="AV79" i="53"/>
  <c r="AW79" i="53"/>
  <c r="AX79" i="53"/>
  <c r="AY79" i="53"/>
  <c r="AT78" i="53"/>
  <c r="AV78" i="53"/>
  <c r="AW78" i="53"/>
  <c r="AX78" i="53"/>
  <c r="AY78" i="53"/>
  <c r="AT77" i="53"/>
  <c r="AV77" i="53"/>
  <c r="AW77" i="53"/>
  <c r="AX77" i="53"/>
  <c r="AY77" i="53"/>
  <c r="AT76" i="53"/>
  <c r="AV76" i="53"/>
  <c r="AW76" i="53"/>
  <c r="AX76" i="53"/>
  <c r="AY76" i="53"/>
  <c r="AT75" i="53"/>
  <c r="AV75" i="53"/>
  <c r="AW75" i="53"/>
  <c r="AX75" i="53"/>
  <c r="AY75" i="53"/>
  <c r="AT74" i="53"/>
  <c r="AV74" i="53"/>
  <c r="AW74" i="53"/>
  <c r="AX74" i="53"/>
  <c r="AY74" i="53"/>
  <c r="AT73" i="53"/>
  <c r="AV73" i="53"/>
  <c r="AW73" i="53"/>
  <c r="AX73" i="53"/>
  <c r="AY73" i="53"/>
  <c r="AT72" i="53"/>
  <c r="AV72" i="53"/>
  <c r="AW72" i="53"/>
  <c r="AX72" i="53"/>
  <c r="AY72" i="53"/>
  <c r="AT71" i="53"/>
  <c r="AV71" i="53"/>
  <c r="AW71" i="53"/>
  <c r="AX71" i="53"/>
  <c r="AY71" i="53"/>
  <c r="AT70" i="53"/>
  <c r="AV70" i="53"/>
  <c r="AW70" i="53"/>
  <c r="AX70" i="53"/>
  <c r="AY70" i="53"/>
  <c r="AT69" i="53"/>
  <c r="AV69" i="53"/>
  <c r="AW69" i="53"/>
  <c r="AX69" i="53"/>
  <c r="AY69" i="53"/>
  <c r="AT68" i="53"/>
  <c r="AV68" i="53"/>
  <c r="AW68" i="53"/>
  <c r="AX68" i="53"/>
  <c r="AY68" i="53"/>
  <c r="AT67" i="53"/>
  <c r="AV67" i="53"/>
  <c r="AW67" i="53"/>
  <c r="AX67" i="53"/>
  <c r="AY67" i="53"/>
  <c r="AT66" i="53"/>
  <c r="AV66" i="53"/>
  <c r="AW66" i="53"/>
  <c r="AX66" i="53"/>
  <c r="AY66" i="53"/>
  <c r="AT65" i="53"/>
  <c r="AV65" i="53"/>
  <c r="AW65" i="53"/>
  <c r="AX65" i="53"/>
  <c r="AY65" i="53"/>
  <c r="AT64" i="53"/>
  <c r="AV64" i="53"/>
  <c r="AW64" i="53"/>
  <c r="AX64" i="53"/>
  <c r="AY64" i="53"/>
  <c r="AT63" i="53"/>
  <c r="AV63" i="53"/>
  <c r="AW63" i="53"/>
  <c r="AX63" i="53"/>
  <c r="AY63" i="53"/>
  <c r="AT62" i="53"/>
  <c r="AV62" i="53"/>
  <c r="AW62" i="53"/>
  <c r="AX62" i="53"/>
  <c r="AY62" i="53"/>
  <c r="AT61" i="53"/>
  <c r="AV61" i="53"/>
  <c r="AW61" i="53"/>
  <c r="AX61" i="53"/>
  <c r="AY61" i="53"/>
  <c r="AT60" i="53"/>
  <c r="AV60" i="53"/>
  <c r="AW60" i="53"/>
  <c r="AX60" i="53"/>
  <c r="AY60" i="53"/>
  <c r="AT59" i="53"/>
  <c r="AV59" i="53"/>
  <c r="AW59" i="53"/>
  <c r="AX59" i="53"/>
  <c r="AY59" i="53"/>
  <c r="AT58" i="53"/>
  <c r="AV58" i="53"/>
  <c r="AW58" i="53"/>
  <c r="AX58" i="53"/>
  <c r="AY58" i="53"/>
  <c r="AT57" i="53"/>
  <c r="AV57" i="53"/>
  <c r="AW57" i="53"/>
  <c r="AX57" i="53"/>
  <c r="AY57" i="53"/>
  <c r="AT56" i="53"/>
  <c r="AV56" i="53"/>
  <c r="AW56" i="53"/>
  <c r="AX56" i="53"/>
  <c r="AY56" i="53"/>
  <c r="AT55" i="53"/>
  <c r="AV55" i="53"/>
  <c r="AW55" i="53"/>
  <c r="AX55" i="53"/>
  <c r="AY55" i="53"/>
  <c r="AT54" i="53"/>
  <c r="AV54" i="53"/>
  <c r="AW54" i="53"/>
  <c r="AX54" i="53"/>
  <c r="AY54" i="53"/>
  <c r="AT53" i="53"/>
  <c r="AV53" i="53"/>
  <c r="AW53" i="53"/>
  <c r="AX53" i="53"/>
  <c r="AY53" i="53"/>
  <c r="AT52" i="53"/>
  <c r="AV52" i="53"/>
  <c r="AW52" i="53"/>
  <c r="AX52" i="53"/>
  <c r="AY52" i="53"/>
  <c r="AT51" i="53"/>
  <c r="AV51" i="53"/>
  <c r="AW51" i="53"/>
  <c r="AX51" i="53"/>
  <c r="AY51" i="53"/>
  <c r="AT50" i="53"/>
  <c r="AV50" i="53"/>
  <c r="AW50" i="53"/>
  <c r="AX50" i="53"/>
  <c r="AY50" i="53"/>
  <c r="AT49" i="53"/>
  <c r="AV49" i="53"/>
  <c r="AW49" i="53"/>
  <c r="AX49" i="53"/>
  <c r="AY49" i="53"/>
  <c r="AT48" i="53"/>
  <c r="AV48" i="53"/>
  <c r="AW48" i="53"/>
  <c r="AX48" i="53"/>
  <c r="AY48" i="53"/>
  <c r="AT47" i="53"/>
  <c r="AV47" i="53"/>
  <c r="AW47" i="53"/>
  <c r="AX47" i="53"/>
  <c r="AY47" i="53"/>
  <c r="AT46" i="53"/>
  <c r="AV46" i="53"/>
  <c r="AW46" i="53"/>
  <c r="AX46" i="53"/>
  <c r="AY46" i="53"/>
  <c r="AT45" i="53"/>
  <c r="AV45" i="53"/>
  <c r="AW45" i="53"/>
  <c r="AX45" i="53"/>
  <c r="AY45" i="53"/>
  <c r="AT44" i="53"/>
  <c r="AV44" i="53"/>
  <c r="AW44" i="53"/>
  <c r="AX44" i="53"/>
  <c r="AY44" i="53"/>
  <c r="AT43" i="53"/>
  <c r="AV43" i="53"/>
  <c r="AW43" i="53"/>
  <c r="AX43" i="53"/>
  <c r="AY43" i="53"/>
  <c r="AT42" i="53"/>
  <c r="AV42" i="53"/>
  <c r="AW42" i="53"/>
  <c r="AX42" i="53"/>
  <c r="AY42" i="53"/>
  <c r="AT41" i="53"/>
  <c r="AV41" i="53"/>
  <c r="AW41" i="53"/>
  <c r="AX41" i="53"/>
  <c r="AY41" i="53"/>
  <c r="AT40" i="53"/>
  <c r="AV40" i="53"/>
  <c r="AW40" i="53"/>
  <c r="AX40" i="53"/>
  <c r="AY40" i="53"/>
  <c r="AT39" i="53"/>
  <c r="AV39" i="53"/>
  <c r="AW39" i="53"/>
  <c r="AX39" i="53"/>
  <c r="AY39" i="53"/>
  <c r="AT38" i="53"/>
  <c r="AV38" i="53"/>
  <c r="AW38" i="53"/>
  <c r="AX38" i="53"/>
  <c r="AY38" i="53"/>
  <c r="AT37" i="53"/>
  <c r="AV37" i="53"/>
  <c r="AW37" i="53"/>
  <c r="AX37" i="53"/>
  <c r="AY37" i="53"/>
  <c r="O37" i="53"/>
  <c r="H37" i="53"/>
  <c r="AT36" i="53"/>
  <c r="AV36" i="53"/>
  <c r="AW36" i="53"/>
  <c r="AX36" i="53"/>
  <c r="AY36" i="53"/>
  <c r="AT35" i="53"/>
  <c r="AV35" i="53"/>
  <c r="AW35" i="53"/>
  <c r="AX35" i="53"/>
  <c r="AY35" i="53"/>
  <c r="AT33" i="53"/>
  <c r="AV33" i="53"/>
  <c r="AW33" i="53"/>
  <c r="AX33" i="53"/>
  <c r="AY33" i="53"/>
  <c r="W31" i="53"/>
  <c r="AT30" i="53"/>
  <c r="AV30" i="53"/>
  <c r="AW30" i="53"/>
  <c r="AX30" i="53"/>
  <c r="AY30" i="53"/>
  <c r="W30" i="53"/>
  <c r="AT29" i="53"/>
  <c r="AV29" i="53"/>
  <c r="AW29" i="53"/>
  <c r="AX29" i="53"/>
  <c r="AY29" i="53"/>
  <c r="W29" i="53"/>
  <c r="AT28" i="53"/>
  <c r="AV28" i="53"/>
  <c r="AW28" i="53"/>
  <c r="AX28" i="53"/>
  <c r="AY28" i="53"/>
  <c r="AT27" i="53"/>
  <c r="AV27" i="53"/>
  <c r="AW27" i="53"/>
  <c r="AX27" i="53"/>
  <c r="AY27" i="53"/>
  <c r="S27" i="53"/>
  <c r="W27" i="53"/>
  <c r="AT26" i="53"/>
  <c r="AV26" i="53"/>
  <c r="AW26" i="53"/>
  <c r="AX26" i="53"/>
  <c r="AY26" i="53"/>
  <c r="W26" i="53"/>
  <c r="AT25" i="53"/>
  <c r="AV25" i="53"/>
  <c r="AW25" i="53"/>
  <c r="AX25" i="53"/>
  <c r="AY25" i="53"/>
  <c r="W25" i="53"/>
  <c r="W24" i="53"/>
  <c r="BB5" i="53"/>
  <c r="C33" i="51"/>
  <c r="C34" i="51"/>
  <c r="C35" i="51"/>
  <c r="C28" i="51"/>
  <c r="C30" i="51"/>
  <c r="C36" i="51"/>
  <c r="C29" i="51"/>
  <c r="C9" i="51"/>
  <c r="C31" i="51"/>
  <c r="C37" i="51"/>
  <c r="C42" i="51"/>
  <c r="C43" i="51"/>
  <c r="E43" i="51"/>
  <c r="R36" i="50"/>
  <c r="S36" i="50"/>
  <c r="F4" i="52"/>
  <c r="F11" i="52"/>
  <c r="F13" i="52"/>
  <c r="B4" i="52"/>
  <c r="B11" i="52"/>
  <c r="B13" i="52"/>
  <c r="O14" i="52"/>
  <c r="M11" i="52"/>
  <c r="L11" i="52"/>
  <c r="L10" i="52"/>
  <c r="L9" i="52"/>
  <c r="M8" i="52"/>
  <c r="L8" i="52"/>
  <c r="M7" i="52"/>
  <c r="L7" i="52"/>
  <c r="M6" i="52"/>
  <c r="L6" i="52"/>
  <c r="M5" i="52"/>
  <c r="L5" i="52"/>
  <c r="M4" i="52"/>
  <c r="L4" i="52"/>
  <c r="C10" i="51"/>
  <c r="C14" i="51"/>
  <c r="C16" i="51"/>
  <c r="C18" i="51"/>
  <c r="C19" i="51"/>
  <c r="C38" i="51"/>
  <c r="C44" i="51"/>
  <c r="E44" i="51"/>
  <c r="C41" i="51"/>
  <c r="C40" i="51"/>
  <c r="F15" i="2"/>
  <c r="G15" i="2"/>
  <c r="E15" i="2"/>
  <c r="AR5" i="50"/>
  <c r="AR6" i="50"/>
  <c r="AR7" i="50"/>
  <c r="AR8" i="50"/>
  <c r="AR9" i="50"/>
  <c r="AR10" i="50"/>
  <c r="AR11" i="50"/>
  <c r="AR12" i="50"/>
  <c r="AR13" i="50"/>
  <c r="AR14" i="50"/>
  <c r="AR15" i="50"/>
  <c r="AR16" i="50"/>
  <c r="AR17" i="50"/>
  <c r="AR18" i="50"/>
  <c r="AR19" i="50"/>
  <c r="AR20" i="50"/>
  <c r="AR21" i="50"/>
  <c r="AR22" i="50"/>
  <c r="AR23" i="50"/>
  <c r="AR24" i="50"/>
  <c r="AR25" i="50"/>
  <c r="AR26" i="50"/>
  <c r="AR27" i="50"/>
  <c r="AR28" i="50"/>
  <c r="AR29" i="50"/>
  <c r="AR30" i="50"/>
  <c r="AR33" i="50"/>
  <c r="AR34" i="50"/>
  <c r="AR35" i="50"/>
  <c r="AR36" i="50"/>
  <c r="AR37" i="50"/>
  <c r="AR38" i="50"/>
  <c r="AR39" i="50"/>
  <c r="AR40" i="50"/>
  <c r="AR41" i="50"/>
  <c r="AR42" i="50"/>
  <c r="AR43" i="50"/>
  <c r="AR44" i="50"/>
  <c r="AR45" i="50"/>
  <c r="AR46" i="50"/>
  <c r="AR47" i="50"/>
  <c r="AR48" i="50"/>
  <c r="AR49" i="50"/>
  <c r="AR50" i="50"/>
  <c r="AR51" i="50"/>
  <c r="AR52" i="50"/>
  <c r="AR53" i="50"/>
  <c r="AR54" i="50"/>
  <c r="AR55" i="50"/>
  <c r="AR56" i="50"/>
  <c r="AR57" i="50"/>
  <c r="AR58" i="50"/>
  <c r="AR59" i="50"/>
  <c r="AR60" i="50"/>
  <c r="AR61" i="50"/>
  <c r="AR62" i="50"/>
  <c r="AR63" i="50"/>
  <c r="AR64" i="50"/>
  <c r="AR65" i="50"/>
  <c r="AR66" i="50"/>
  <c r="AR67" i="50"/>
  <c r="AR68" i="50"/>
  <c r="AR69" i="50"/>
  <c r="AR70" i="50"/>
  <c r="AR71" i="50"/>
  <c r="AR72" i="50"/>
  <c r="AR73" i="50"/>
  <c r="AR74" i="50"/>
  <c r="AR75" i="50"/>
  <c r="AR76" i="50"/>
  <c r="AR77" i="50"/>
  <c r="AR78" i="50"/>
  <c r="AR79" i="50"/>
  <c r="AR80" i="50"/>
  <c r="AR81" i="50"/>
  <c r="AR82" i="50"/>
  <c r="AR83" i="50"/>
  <c r="AR84" i="50"/>
  <c r="AR85" i="50"/>
  <c r="AR86" i="50"/>
  <c r="AR87" i="50"/>
  <c r="AR88" i="50"/>
  <c r="AR89" i="50"/>
  <c r="AR90" i="50"/>
  <c r="AR91" i="50"/>
  <c r="AR92" i="50"/>
  <c r="AR93" i="50"/>
  <c r="AR94" i="50"/>
  <c r="AR95" i="50"/>
  <c r="AR96" i="50"/>
  <c r="AR97" i="50"/>
  <c r="AR98" i="50"/>
  <c r="AR99" i="50"/>
  <c r="AR100" i="50"/>
  <c r="AR101" i="50"/>
  <c r="AR102" i="50"/>
  <c r="AR103" i="50"/>
  <c r="AR104" i="50"/>
  <c r="AR105" i="50"/>
  <c r="AR106" i="50"/>
  <c r="AR107" i="50"/>
  <c r="AR108" i="50"/>
  <c r="AR109" i="50"/>
  <c r="AR110" i="50"/>
  <c r="AR111" i="50"/>
  <c r="AR112" i="50"/>
  <c r="AR113" i="50"/>
  <c r="AY113" i="50"/>
  <c r="AS113" i="50"/>
  <c r="AU113" i="50"/>
  <c r="AV113" i="50"/>
  <c r="AW113" i="50"/>
  <c r="AX113" i="50"/>
  <c r="AY112" i="50"/>
  <c r="AS112" i="50"/>
  <c r="AU112" i="50"/>
  <c r="AV112" i="50"/>
  <c r="AW112" i="50"/>
  <c r="AX112" i="50"/>
  <c r="AY111" i="50"/>
  <c r="AS111" i="50"/>
  <c r="AU111" i="50"/>
  <c r="AV111" i="50"/>
  <c r="AW111" i="50"/>
  <c r="AX111" i="50"/>
  <c r="AY110" i="50"/>
  <c r="AS110" i="50"/>
  <c r="AU110" i="50"/>
  <c r="AV110" i="50"/>
  <c r="AW110" i="50"/>
  <c r="AX110" i="50"/>
  <c r="AY109" i="50"/>
  <c r="AS109" i="50"/>
  <c r="AU109" i="50"/>
  <c r="AV109" i="50"/>
  <c r="AW109" i="50"/>
  <c r="AX109" i="50"/>
  <c r="AY108" i="50"/>
  <c r="AS108" i="50"/>
  <c r="AU108" i="50"/>
  <c r="AV108" i="50"/>
  <c r="AW108" i="50"/>
  <c r="AX108" i="50"/>
  <c r="AY107" i="50"/>
  <c r="AS107" i="50"/>
  <c r="AU107" i="50"/>
  <c r="AV107" i="50"/>
  <c r="AW107" i="50"/>
  <c r="AX107" i="50"/>
  <c r="AY106" i="50"/>
  <c r="AS106" i="50"/>
  <c r="AU106" i="50"/>
  <c r="AV106" i="50"/>
  <c r="AW106" i="50"/>
  <c r="AX106" i="50"/>
  <c r="AY105" i="50"/>
  <c r="AS105" i="50"/>
  <c r="AU105" i="50"/>
  <c r="AV105" i="50"/>
  <c r="AW105" i="50"/>
  <c r="AX105" i="50"/>
  <c r="AY104" i="50"/>
  <c r="AS104" i="50"/>
  <c r="AU104" i="50"/>
  <c r="AV104" i="50"/>
  <c r="AW104" i="50"/>
  <c r="AX104" i="50"/>
  <c r="AY103" i="50"/>
  <c r="AS103" i="50"/>
  <c r="AU103" i="50"/>
  <c r="AV103" i="50"/>
  <c r="AW103" i="50"/>
  <c r="AX103" i="50"/>
  <c r="AY102" i="50"/>
  <c r="AS102" i="50"/>
  <c r="AU102" i="50"/>
  <c r="AV102" i="50"/>
  <c r="AW102" i="50"/>
  <c r="AX102" i="50"/>
  <c r="AY101" i="50"/>
  <c r="AS101" i="50"/>
  <c r="AU101" i="50"/>
  <c r="AV101" i="50"/>
  <c r="AW101" i="50"/>
  <c r="AX101" i="50"/>
  <c r="AY100" i="50"/>
  <c r="AS100" i="50"/>
  <c r="AU100" i="50"/>
  <c r="AV100" i="50"/>
  <c r="AW100" i="50"/>
  <c r="AX100" i="50"/>
  <c r="AY99" i="50"/>
  <c r="AS99" i="50"/>
  <c r="AU99" i="50"/>
  <c r="AV99" i="50"/>
  <c r="AW99" i="50"/>
  <c r="AX99" i="50"/>
  <c r="AY98" i="50"/>
  <c r="AS98" i="50"/>
  <c r="AU98" i="50"/>
  <c r="AV98" i="50"/>
  <c r="AW98" i="50"/>
  <c r="AX98" i="50"/>
  <c r="AY97" i="50"/>
  <c r="AS97" i="50"/>
  <c r="AU97" i="50"/>
  <c r="AV97" i="50"/>
  <c r="AW97" i="50"/>
  <c r="AX97" i="50"/>
  <c r="AY96" i="50"/>
  <c r="AS96" i="50"/>
  <c r="AU96" i="50"/>
  <c r="AV96" i="50"/>
  <c r="AW96" i="50"/>
  <c r="AX96" i="50"/>
  <c r="AY95" i="50"/>
  <c r="AS95" i="50"/>
  <c r="AU95" i="50"/>
  <c r="AV95" i="50"/>
  <c r="AW95" i="50"/>
  <c r="AX95" i="50"/>
  <c r="AY94" i="50"/>
  <c r="AS94" i="50"/>
  <c r="AU94" i="50"/>
  <c r="AV94" i="50"/>
  <c r="AW94" i="50"/>
  <c r="AX94" i="50"/>
  <c r="AY93" i="50"/>
  <c r="AS93" i="50"/>
  <c r="AU93" i="50"/>
  <c r="AV93" i="50"/>
  <c r="AW93" i="50"/>
  <c r="AX93" i="50"/>
  <c r="AY92" i="50"/>
  <c r="AS92" i="50"/>
  <c r="AU92" i="50"/>
  <c r="AV92" i="50"/>
  <c r="AW92" i="50"/>
  <c r="AX92" i="50"/>
  <c r="AY91" i="50"/>
  <c r="AS91" i="50"/>
  <c r="AU91" i="50"/>
  <c r="AV91" i="50"/>
  <c r="AW91" i="50"/>
  <c r="AX91" i="50"/>
  <c r="AY90" i="50"/>
  <c r="AS90" i="50"/>
  <c r="AU90" i="50"/>
  <c r="AV90" i="50"/>
  <c r="AW90" i="50"/>
  <c r="AX90" i="50"/>
  <c r="AY89" i="50"/>
  <c r="AS89" i="50"/>
  <c r="AU89" i="50"/>
  <c r="AV89" i="50"/>
  <c r="AW89" i="50"/>
  <c r="AX89" i="50"/>
  <c r="AY88" i="50"/>
  <c r="AS88" i="50"/>
  <c r="AU88" i="50"/>
  <c r="AV88" i="50"/>
  <c r="AW88" i="50"/>
  <c r="AX88" i="50"/>
  <c r="AY87" i="50"/>
  <c r="AS87" i="50"/>
  <c r="AU87" i="50"/>
  <c r="AV87" i="50"/>
  <c r="AW87" i="50"/>
  <c r="AX87" i="50"/>
  <c r="AY86" i="50"/>
  <c r="AS86" i="50"/>
  <c r="AU86" i="50"/>
  <c r="AV86" i="50"/>
  <c r="AW86" i="50"/>
  <c r="AX86" i="50"/>
  <c r="AY85" i="50"/>
  <c r="AS85" i="50"/>
  <c r="AU85" i="50"/>
  <c r="AV85" i="50"/>
  <c r="AW85" i="50"/>
  <c r="AX85" i="50"/>
  <c r="AY84" i="50"/>
  <c r="AS84" i="50"/>
  <c r="AU84" i="50"/>
  <c r="AV84" i="50"/>
  <c r="AW84" i="50"/>
  <c r="AX84" i="50"/>
  <c r="AY83" i="50"/>
  <c r="AS83" i="50"/>
  <c r="AU83" i="50"/>
  <c r="AV83" i="50"/>
  <c r="AW83" i="50"/>
  <c r="AX83" i="50"/>
  <c r="AY82" i="50"/>
  <c r="AS82" i="50"/>
  <c r="AU82" i="50"/>
  <c r="AV82" i="50"/>
  <c r="AW82" i="50"/>
  <c r="AX82" i="50"/>
  <c r="AY81" i="50"/>
  <c r="AS81" i="50"/>
  <c r="AU81" i="50"/>
  <c r="AV81" i="50"/>
  <c r="AW81" i="50"/>
  <c r="AX81" i="50"/>
  <c r="AY80" i="50"/>
  <c r="AS80" i="50"/>
  <c r="AU80" i="50"/>
  <c r="AV80" i="50"/>
  <c r="AW80" i="50"/>
  <c r="AX80" i="50"/>
  <c r="AY79" i="50"/>
  <c r="AS79" i="50"/>
  <c r="AU79" i="50"/>
  <c r="AV79" i="50"/>
  <c r="AW79" i="50"/>
  <c r="AX79" i="50"/>
  <c r="AY78" i="50"/>
  <c r="AS78" i="50"/>
  <c r="AU78" i="50"/>
  <c r="AV78" i="50"/>
  <c r="AW78" i="50"/>
  <c r="AX78" i="50"/>
  <c r="AY77" i="50"/>
  <c r="AS77" i="50"/>
  <c r="AU77" i="50"/>
  <c r="AV77" i="50"/>
  <c r="AW77" i="50"/>
  <c r="AX77" i="50"/>
  <c r="AY76" i="50"/>
  <c r="AS76" i="50"/>
  <c r="AU76" i="50"/>
  <c r="AV76" i="50"/>
  <c r="AW76" i="50"/>
  <c r="AX76" i="50"/>
  <c r="AY75" i="50"/>
  <c r="AS75" i="50"/>
  <c r="AU75" i="50"/>
  <c r="AV75" i="50"/>
  <c r="AW75" i="50"/>
  <c r="AX75" i="50"/>
  <c r="AY74" i="50"/>
  <c r="AS74" i="50"/>
  <c r="AU74" i="50"/>
  <c r="AV74" i="50"/>
  <c r="AW74" i="50"/>
  <c r="AX74" i="50"/>
  <c r="AY73" i="50"/>
  <c r="AS73" i="50"/>
  <c r="AU73" i="50"/>
  <c r="AV73" i="50"/>
  <c r="AW73" i="50"/>
  <c r="AX73" i="50"/>
  <c r="AY72" i="50"/>
  <c r="AS72" i="50"/>
  <c r="AU72" i="50"/>
  <c r="AV72" i="50"/>
  <c r="AW72" i="50"/>
  <c r="AX72" i="50"/>
  <c r="AY71" i="50"/>
  <c r="AS71" i="50"/>
  <c r="AU71" i="50"/>
  <c r="AV71" i="50"/>
  <c r="AW71" i="50"/>
  <c r="AX71" i="50"/>
  <c r="AY70" i="50"/>
  <c r="AS70" i="50"/>
  <c r="AU70" i="50"/>
  <c r="AV70" i="50"/>
  <c r="AW70" i="50"/>
  <c r="AX70" i="50"/>
  <c r="AY69" i="50"/>
  <c r="AS69" i="50"/>
  <c r="AU69" i="50"/>
  <c r="AV69" i="50"/>
  <c r="AW69" i="50"/>
  <c r="AX69" i="50"/>
  <c r="AY68" i="50"/>
  <c r="AS68" i="50"/>
  <c r="AU68" i="50"/>
  <c r="AV68" i="50"/>
  <c r="AW68" i="50"/>
  <c r="AX68" i="50"/>
  <c r="AY67" i="50"/>
  <c r="AS67" i="50"/>
  <c r="AU67" i="50"/>
  <c r="AV67" i="50"/>
  <c r="AW67" i="50"/>
  <c r="AX67" i="50"/>
  <c r="AY66" i="50"/>
  <c r="AS66" i="50"/>
  <c r="AU66" i="50"/>
  <c r="AV66" i="50"/>
  <c r="AW66" i="50"/>
  <c r="AX66" i="50"/>
  <c r="AY65" i="50"/>
  <c r="AS65" i="50"/>
  <c r="AU65" i="50"/>
  <c r="AV65" i="50"/>
  <c r="AW65" i="50"/>
  <c r="AX65" i="50"/>
  <c r="AY64" i="50"/>
  <c r="AS64" i="50"/>
  <c r="AU64" i="50"/>
  <c r="AV64" i="50"/>
  <c r="AW64" i="50"/>
  <c r="AX64" i="50"/>
  <c r="AY63" i="50"/>
  <c r="AS63" i="50"/>
  <c r="AU63" i="50"/>
  <c r="AV63" i="50"/>
  <c r="AW63" i="50"/>
  <c r="AX63" i="50"/>
  <c r="AY62" i="50"/>
  <c r="AS62" i="50"/>
  <c r="AU62" i="50"/>
  <c r="AV62" i="50"/>
  <c r="AW62" i="50"/>
  <c r="AX62" i="50"/>
  <c r="AY61" i="50"/>
  <c r="AS61" i="50"/>
  <c r="AU61" i="50"/>
  <c r="AV61" i="50"/>
  <c r="AW61" i="50"/>
  <c r="AX61" i="50"/>
  <c r="AY60" i="50"/>
  <c r="AS60" i="50"/>
  <c r="AU60" i="50"/>
  <c r="AV60" i="50"/>
  <c r="AW60" i="50"/>
  <c r="AX60" i="50"/>
  <c r="AY59" i="50"/>
  <c r="AS59" i="50"/>
  <c r="AU59" i="50"/>
  <c r="AV59" i="50"/>
  <c r="AW59" i="50"/>
  <c r="AX59" i="50"/>
  <c r="AY58" i="50"/>
  <c r="AS58" i="50"/>
  <c r="AU58" i="50"/>
  <c r="AV58" i="50"/>
  <c r="AW58" i="50"/>
  <c r="AX58" i="50"/>
  <c r="AY57" i="50"/>
  <c r="AS57" i="50"/>
  <c r="AU57" i="50"/>
  <c r="AV57" i="50"/>
  <c r="AW57" i="50"/>
  <c r="AX57" i="50"/>
  <c r="AY56" i="50"/>
  <c r="AS56" i="50"/>
  <c r="AU56" i="50"/>
  <c r="AV56" i="50"/>
  <c r="AW56" i="50"/>
  <c r="AX56" i="50"/>
  <c r="AY55" i="50"/>
  <c r="AS55" i="50"/>
  <c r="AU55" i="50"/>
  <c r="AV55" i="50"/>
  <c r="AW55" i="50"/>
  <c r="AX55" i="50"/>
  <c r="AY54" i="50"/>
  <c r="AS54" i="50"/>
  <c r="AU54" i="50"/>
  <c r="AV54" i="50"/>
  <c r="AW54" i="50"/>
  <c r="AX54" i="50"/>
  <c r="AY53" i="50"/>
  <c r="AS53" i="50"/>
  <c r="AU53" i="50"/>
  <c r="AV53" i="50"/>
  <c r="AW53" i="50"/>
  <c r="AX53" i="50"/>
  <c r="AY52" i="50"/>
  <c r="AS52" i="50"/>
  <c r="AU52" i="50"/>
  <c r="AV52" i="50"/>
  <c r="AW52" i="50"/>
  <c r="AX52" i="50"/>
  <c r="AY51" i="50"/>
  <c r="AS51" i="50"/>
  <c r="AU51" i="50"/>
  <c r="AV51" i="50"/>
  <c r="AW51" i="50"/>
  <c r="AX51" i="50"/>
  <c r="AY50" i="50"/>
  <c r="AS50" i="50"/>
  <c r="AU50" i="50"/>
  <c r="AV50" i="50"/>
  <c r="AW50" i="50"/>
  <c r="AX50" i="50"/>
  <c r="AY49" i="50"/>
  <c r="AS49" i="50"/>
  <c r="AU49" i="50"/>
  <c r="AV49" i="50"/>
  <c r="AW49" i="50"/>
  <c r="AX49" i="50"/>
  <c r="AY48" i="50"/>
  <c r="AS48" i="50"/>
  <c r="AU48" i="50"/>
  <c r="AV48" i="50"/>
  <c r="AW48" i="50"/>
  <c r="AX48" i="50"/>
  <c r="AY47" i="50"/>
  <c r="AS47" i="50"/>
  <c r="AU47" i="50"/>
  <c r="AV47" i="50"/>
  <c r="AW47" i="50"/>
  <c r="AX47" i="50"/>
  <c r="AY46" i="50"/>
  <c r="AS46" i="50"/>
  <c r="AU46" i="50"/>
  <c r="AV46" i="50"/>
  <c r="AW46" i="50"/>
  <c r="AX46" i="50"/>
  <c r="AY45" i="50"/>
  <c r="AS45" i="50"/>
  <c r="AU45" i="50"/>
  <c r="AV45" i="50"/>
  <c r="AW45" i="50"/>
  <c r="AX45" i="50"/>
  <c r="AY44" i="50"/>
  <c r="AS44" i="50"/>
  <c r="AU44" i="50"/>
  <c r="AV44" i="50"/>
  <c r="AW44" i="50"/>
  <c r="AX44" i="50"/>
  <c r="AY43" i="50"/>
  <c r="AS43" i="50"/>
  <c r="AU43" i="50"/>
  <c r="AV43" i="50"/>
  <c r="AW43" i="50"/>
  <c r="AX43" i="50"/>
  <c r="AY42" i="50"/>
  <c r="AS42" i="50"/>
  <c r="AU42" i="50"/>
  <c r="AV42" i="50"/>
  <c r="AW42" i="50"/>
  <c r="AX42" i="50"/>
  <c r="AY41" i="50"/>
  <c r="AS41" i="50"/>
  <c r="AU41" i="50"/>
  <c r="AV41" i="50"/>
  <c r="AW41" i="50"/>
  <c r="AX41" i="50"/>
  <c r="AY40" i="50"/>
  <c r="AS40" i="50"/>
  <c r="AU40" i="50"/>
  <c r="AV40" i="50"/>
  <c r="AW40" i="50"/>
  <c r="AX40" i="50"/>
  <c r="AY39" i="50"/>
  <c r="AS39" i="50"/>
  <c r="AU39" i="50"/>
  <c r="AV39" i="50"/>
  <c r="AW39" i="50"/>
  <c r="AX39" i="50"/>
  <c r="AY38" i="50"/>
  <c r="AS38" i="50"/>
  <c r="AU38" i="50"/>
  <c r="AV38" i="50"/>
  <c r="AW38" i="50"/>
  <c r="AX38" i="50"/>
  <c r="AY37" i="50"/>
  <c r="AS37" i="50"/>
  <c r="AU37" i="50"/>
  <c r="AV37" i="50"/>
  <c r="AW37" i="50"/>
  <c r="AX37" i="50"/>
  <c r="AY36" i="50"/>
  <c r="AS36" i="50"/>
  <c r="AU36" i="50"/>
  <c r="AV36" i="50"/>
  <c r="AW36" i="50"/>
  <c r="AX36" i="50"/>
  <c r="U36" i="50"/>
  <c r="AY35" i="50"/>
  <c r="AS35" i="50"/>
  <c r="AU35" i="50"/>
  <c r="AV35" i="50"/>
  <c r="AW35" i="50"/>
  <c r="AX35" i="50"/>
  <c r="AY34" i="50"/>
  <c r="AS34" i="50"/>
  <c r="AU34" i="50"/>
  <c r="AV34" i="50"/>
  <c r="AW34" i="50"/>
  <c r="AX34" i="50"/>
  <c r="AY33" i="50"/>
  <c r="AS33" i="50"/>
  <c r="AU33" i="50"/>
  <c r="AV33" i="50"/>
  <c r="AW33" i="50"/>
  <c r="AX33" i="50"/>
  <c r="S16" i="50"/>
  <c r="V16" i="50"/>
  <c r="I33" i="50"/>
  <c r="S15" i="50"/>
  <c r="T15" i="50"/>
  <c r="V15" i="50"/>
  <c r="I32" i="50"/>
  <c r="R6" i="50"/>
  <c r="S6" i="50"/>
  <c r="T6" i="50"/>
  <c r="S11" i="50"/>
  <c r="T11" i="50"/>
  <c r="W27" i="50"/>
  <c r="R5" i="50"/>
  <c r="S5" i="50"/>
  <c r="T5" i="50"/>
  <c r="W23" i="50"/>
  <c r="W31" i="50"/>
  <c r="S14" i="50"/>
  <c r="T14" i="50"/>
  <c r="V14" i="50"/>
  <c r="I31" i="50"/>
  <c r="AY30" i="50"/>
  <c r="AS30" i="50"/>
  <c r="AU30" i="50"/>
  <c r="AV30" i="50"/>
  <c r="AW30" i="50"/>
  <c r="AX30" i="50"/>
  <c r="V5" i="50"/>
  <c r="S10" i="50"/>
  <c r="T10" i="50"/>
  <c r="W25" i="50"/>
  <c r="W30" i="50"/>
  <c r="AY29" i="50"/>
  <c r="AS29" i="50"/>
  <c r="AU29" i="50"/>
  <c r="AV29" i="50"/>
  <c r="AW29" i="50"/>
  <c r="AX29" i="50"/>
  <c r="S9" i="50"/>
  <c r="T9" i="50"/>
  <c r="W24" i="50"/>
  <c r="W29" i="50"/>
  <c r="I23" i="50"/>
  <c r="AS4" i="50"/>
  <c r="AT4" i="50"/>
  <c r="AS5" i="50"/>
  <c r="AU5" i="50"/>
  <c r="AV5" i="50"/>
  <c r="AW5" i="50"/>
  <c r="AX5" i="50"/>
  <c r="AY5" i="50"/>
  <c r="AS6" i="50"/>
  <c r="AU6" i="50"/>
  <c r="AV6" i="50"/>
  <c r="AW6" i="50"/>
  <c r="AX6" i="50"/>
  <c r="AY6" i="50"/>
  <c r="AS7" i="50"/>
  <c r="AU7" i="50"/>
  <c r="AV7" i="50"/>
  <c r="AW7" i="50"/>
  <c r="AX7" i="50"/>
  <c r="AY7" i="50"/>
  <c r="AS8" i="50"/>
  <c r="AU8" i="50"/>
  <c r="AV8" i="50"/>
  <c r="AW8" i="50"/>
  <c r="AX8" i="50"/>
  <c r="AY8" i="50"/>
  <c r="AS9" i="50"/>
  <c r="AU9" i="50"/>
  <c r="AV9" i="50"/>
  <c r="AW9" i="50"/>
  <c r="AX9" i="50"/>
  <c r="AY9" i="50"/>
  <c r="AS10" i="50"/>
  <c r="AU10" i="50"/>
  <c r="AV10" i="50"/>
  <c r="AW10" i="50"/>
  <c r="AX10" i="50"/>
  <c r="AY10" i="50"/>
  <c r="AS11" i="50"/>
  <c r="AU11" i="50"/>
  <c r="AV11" i="50"/>
  <c r="AW11" i="50"/>
  <c r="AX11" i="50"/>
  <c r="AY11" i="50"/>
  <c r="AS12" i="50"/>
  <c r="AU12" i="50"/>
  <c r="AV12" i="50"/>
  <c r="AW12" i="50"/>
  <c r="AX12" i="50"/>
  <c r="AY12" i="50"/>
  <c r="AS13" i="50"/>
  <c r="AU13" i="50"/>
  <c r="AV13" i="50"/>
  <c r="AW13" i="50"/>
  <c r="AX13" i="50"/>
  <c r="AY13" i="50"/>
  <c r="AS14" i="50"/>
  <c r="AU14" i="50"/>
  <c r="AV14" i="50"/>
  <c r="AW14" i="50"/>
  <c r="AX14" i="50"/>
  <c r="AY14" i="50"/>
  <c r="AS15" i="50"/>
  <c r="AU15" i="50"/>
  <c r="AV15" i="50"/>
  <c r="AW15" i="50"/>
  <c r="AX15" i="50"/>
  <c r="AY15" i="50"/>
  <c r="AS16" i="50"/>
  <c r="AU16" i="50"/>
  <c r="AV16" i="50"/>
  <c r="AW16" i="50"/>
  <c r="AX16" i="50"/>
  <c r="AY16" i="50"/>
  <c r="AS17" i="50"/>
  <c r="AU17" i="50"/>
  <c r="AV17" i="50"/>
  <c r="AW17" i="50"/>
  <c r="AX17" i="50"/>
  <c r="AY17" i="50"/>
  <c r="AS18" i="50"/>
  <c r="AU18" i="50"/>
  <c r="AV18" i="50"/>
  <c r="AW18" i="50"/>
  <c r="AX18" i="50"/>
  <c r="AY18" i="50"/>
  <c r="AS19" i="50"/>
  <c r="AU19" i="50"/>
  <c r="AV19" i="50"/>
  <c r="AW19" i="50"/>
  <c r="AX19" i="50"/>
  <c r="AY19" i="50"/>
  <c r="AS20" i="50"/>
  <c r="AU20" i="50"/>
  <c r="AV20" i="50"/>
  <c r="AW20" i="50"/>
  <c r="AX20" i="50"/>
  <c r="AY20" i="50"/>
  <c r="AS21" i="50"/>
  <c r="AU21" i="50"/>
  <c r="AV21" i="50"/>
  <c r="AW21" i="50"/>
  <c r="AX21" i="50"/>
  <c r="AY21" i="50"/>
  <c r="AS22" i="50"/>
  <c r="AU22" i="50"/>
  <c r="AV22" i="50"/>
  <c r="AW22" i="50"/>
  <c r="AX22" i="50"/>
  <c r="AY22" i="50"/>
  <c r="AS23" i="50"/>
  <c r="AU23" i="50"/>
  <c r="AV23" i="50"/>
  <c r="AW23" i="50"/>
  <c r="AX23" i="50"/>
  <c r="AY23" i="50"/>
  <c r="AS24" i="50"/>
  <c r="AU24" i="50"/>
  <c r="AV24" i="50"/>
  <c r="AW24" i="50"/>
  <c r="AX24" i="50"/>
  <c r="AY24" i="50"/>
  <c r="AY25" i="50"/>
  <c r="AY26" i="50"/>
  <c r="AY27" i="50"/>
  <c r="AY28" i="50"/>
  <c r="AZ5" i="50"/>
  <c r="R19" i="50"/>
  <c r="AW4" i="50"/>
  <c r="AX4" i="50"/>
  <c r="AY4" i="50"/>
  <c r="S19" i="50"/>
  <c r="T19" i="50"/>
  <c r="V19" i="50"/>
  <c r="I24" i="50"/>
  <c r="G29" i="50"/>
  <c r="AS28" i="50"/>
  <c r="AU28" i="50"/>
  <c r="AV28" i="50"/>
  <c r="AW28" i="50"/>
  <c r="AX28" i="50"/>
  <c r="I22" i="50"/>
  <c r="G28" i="50"/>
  <c r="AS27" i="50"/>
  <c r="AU27" i="50"/>
  <c r="AV27" i="50"/>
  <c r="AW27" i="50"/>
  <c r="AX27" i="50"/>
  <c r="I21" i="50"/>
  <c r="G27" i="50"/>
  <c r="AS26" i="50"/>
  <c r="AU26" i="50"/>
  <c r="AV26" i="50"/>
  <c r="AW26" i="50"/>
  <c r="AX26" i="50"/>
  <c r="W26" i="50"/>
  <c r="AS25" i="50"/>
  <c r="AU25" i="50"/>
  <c r="AV25" i="50"/>
  <c r="AW25" i="50"/>
  <c r="AX25" i="50"/>
  <c r="S25" i="50"/>
  <c r="I25" i="50"/>
  <c r="S24" i="50"/>
  <c r="S23" i="50"/>
  <c r="W16" i="50"/>
  <c r="W15" i="50"/>
  <c r="W14" i="50"/>
  <c r="BA5" i="50"/>
  <c r="E31" i="2"/>
  <c r="E12" i="2"/>
  <c r="F6" i="2"/>
  <c r="D88" i="2"/>
  <c r="D94" i="2"/>
  <c r="E88" i="2"/>
  <c r="E94" i="2"/>
  <c r="H54" i="2"/>
  <c r="D42" i="2"/>
  <c r="F42" i="2"/>
  <c r="D83" i="2"/>
  <c r="E42" i="2"/>
  <c r="F41" i="2"/>
  <c r="D73" i="2"/>
  <c r="D84" i="2"/>
  <c r="E90" i="2"/>
  <c r="D90" i="2"/>
  <c r="D74" i="2"/>
  <c r="L13" i="52"/>
  <c r="O13" i="52"/>
  <c r="D39" i="85" a="1"/>
  <c r="D39" i="85"/>
  <c r="E39" i="85" a="1"/>
  <c r="E39" i="85"/>
  <c r="C5" i="85"/>
  <c r="H39" i="85" a="1"/>
  <c r="H39" i="85"/>
  <c r="H41" i="85"/>
  <c r="I39" i="85" a="1"/>
  <c r="I39" i="85"/>
  <c r="I41" i="85"/>
  <c r="J39" i="85" a="1"/>
  <c r="J39" i="85"/>
  <c r="J41" i="85"/>
  <c r="K39" i="85" a="1"/>
  <c r="K39" i="85"/>
  <c r="K41" i="85"/>
  <c r="H42" i="85"/>
  <c r="H43" i="85"/>
  <c r="D5" i="85"/>
  <c r="E5" i="85"/>
  <c r="B39" i="85" a="1"/>
  <c r="B39" i="85"/>
  <c r="C39" i="85" a="1"/>
  <c r="C39" i="85"/>
  <c r="B42" i="85"/>
  <c r="B43" i="85"/>
  <c r="B5" i="85"/>
  <c r="F5" i="85"/>
  <c r="D40" i="85"/>
  <c r="E40" i="85"/>
  <c r="I5" i="85"/>
  <c r="H40" i="85"/>
  <c r="I40" i="85"/>
  <c r="J40" i="85"/>
  <c r="K40" i="85"/>
  <c r="J5" i="85"/>
  <c r="K5" i="85"/>
  <c r="B40" i="85"/>
  <c r="C40" i="85"/>
  <c r="H5" i="85"/>
  <c r="M5" i="85"/>
  <c r="D56" i="85" a="1"/>
  <c r="D56" i="85"/>
  <c r="E56" i="85" a="1"/>
  <c r="E56" i="85"/>
  <c r="C6" i="85"/>
  <c r="H56" i="85" a="1"/>
  <c r="H56" i="85"/>
  <c r="H58" i="85"/>
  <c r="I56" i="85" a="1"/>
  <c r="I56" i="85"/>
  <c r="I58" i="85"/>
  <c r="J56" i="85" a="1"/>
  <c r="J56" i="85"/>
  <c r="J58" i="85"/>
  <c r="K56" i="85" a="1"/>
  <c r="K56" i="85"/>
  <c r="K58" i="85"/>
  <c r="H59" i="85"/>
  <c r="H60" i="85"/>
  <c r="D6" i="85"/>
  <c r="E6" i="85"/>
  <c r="B56" i="85" a="1"/>
  <c r="B56" i="85"/>
  <c r="C56" i="85" a="1"/>
  <c r="C56" i="85"/>
  <c r="B59" i="85"/>
  <c r="B60" i="85"/>
  <c r="B6" i="85"/>
  <c r="F6" i="85"/>
  <c r="D57" i="85"/>
  <c r="E57" i="85"/>
  <c r="I6" i="85"/>
  <c r="H57" i="85"/>
  <c r="I57" i="85"/>
  <c r="J57" i="85"/>
  <c r="K57" i="85"/>
  <c r="J6" i="85"/>
  <c r="K6" i="85"/>
  <c r="B57" i="85"/>
  <c r="C57" i="85"/>
  <c r="H6" i="85"/>
  <c r="M6" i="85"/>
  <c r="F56" i="85" a="1"/>
  <c r="F56" i="85"/>
</calcChain>
</file>

<file path=xl/comments1.xml><?xml version="1.0" encoding="utf-8"?>
<comments xmlns="http://schemas.openxmlformats.org/spreadsheetml/2006/main">
  <authors>
    <author>Author</author>
  </authors>
  <commentList>
    <comment ref="B18" authorId="0">
      <text>
        <r>
          <rPr>
            <sz val="9"/>
            <color indexed="81"/>
            <rFont val="Tahoma"/>
            <family val="2"/>
          </rPr>
          <t>This uses the median of the inputs of staff to calculate the outputs.</t>
        </r>
      </text>
    </comment>
  </commentList>
</comments>
</file>

<file path=xl/comments2.xml><?xml version="1.0" encoding="utf-8"?>
<comments xmlns="http://schemas.openxmlformats.org/spreadsheetml/2006/main">
  <authors>
    <author>Author</author>
  </authors>
  <commentList>
    <comment ref="B5"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B8" authorId="0">
      <text>
        <r>
          <rPr>
            <sz val="9"/>
            <color indexed="81"/>
            <rFont val="Tahoma"/>
            <family val="2"/>
          </rPr>
          <t>See also section 5 of model to triangulate on this estimate.</t>
        </r>
      </text>
    </comment>
    <comment ref="B32"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whose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List>
</comments>
</file>

<file path=xl/comments3.xml><?xml version="1.0" encoding="utf-8"?>
<comments xmlns="http://schemas.openxmlformats.org/spreadsheetml/2006/main">
  <authors>
    <author>Author</author>
  </authors>
  <commentList>
    <comment ref="B2" authorId="0">
      <text>
        <r>
          <rPr>
            <sz val="9"/>
            <color indexed="81"/>
            <rFont val="Tahoma"/>
            <family val="2"/>
          </rPr>
          <t>Some documents contain researchers' and/or organizations' unpublished data and cannot be published.</t>
        </r>
      </text>
    </comment>
  </commentList>
</comments>
</file>

<file path=xl/comments4.xml><?xml version="1.0" encoding="utf-8"?>
<comments xmlns="http://schemas.openxmlformats.org/spreadsheetml/2006/main">
  <authors>
    <author>Author</author>
  </authors>
  <commentList>
    <comment ref="B3" authorId="0">
      <text>
        <r>
          <rPr>
            <sz val="9"/>
            <color indexed="81"/>
            <rFont val="Tahoma"/>
            <family val="2"/>
          </rPr>
          <t>This approach may be preferred with many plausible assumptions, for example, if one believes all types of infections are ~equally impactful.</t>
        </r>
      </text>
    </comment>
    <comment ref="H3" authorId="0">
      <text>
        <r>
          <rPr>
            <sz val="9"/>
            <color indexed="81"/>
            <rFont val="Tahoma"/>
            <family val="2"/>
          </rPr>
          <t>This approach may be preferred in certain cases, for example, if one believed all of the effect was due to a single infection type but was uncertain which (so applied equal weights to get an expected value)</t>
        </r>
      </text>
    </comment>
    <comment ref="K19" authorId="0">
      <text>
        <r>
          <rPr>
            <sz val="9"/>
            <color indexed="81"/>
            <rFont val="Arial"/>
            <family val="2"/>
          </rPr>
          <t>S. haemotobium intensity was high here, 42.36 eggs/10 mL (heavy infection is &gt; 49 epg).</t>
        </r>
      </text>
    </comment>
    <comment ref="I20" authorId="0">
      <text>
        <r>
          <rPr>
            <sz val="9"/>
            <color indexed="81"/>
            <rFont val="Tahoma"/>
            <family val="2"/>
          </rPr>
          <t>Reported as N/A but assumed to be 0 given prevalence</t>
        </r>
      </text>
    </comment>
    <comment ref="K20" authorId="0">
      <text>
        <r>
          <rPr>
            <sz val="9"/>
            <color indexed="81"/>
            <rFont val="Tahoma"/>
            <family val="2"/>
          </rPr>
          <t>S. haematobium is 2.32 eggs/10ml</t>
        </r>
      </text>
    </comment>
    <comment ref="E21" authorId="0">
      <text>
        <r>
          <rPr>
            <sz val="9"/>
            <color indexed="81"/>
            <rFont val="Tahoma"/>
            <family val="2"/>
          </rPr>
          <t>Adding S. haematobium and S. mansoni to approximate any schisto prevalence</t>
        </r>
      </text>
    </comment>
    <comment ref="K22" authorId="0">
      <text>
        <r>
          <rPr>
            <sz val="9"/>
            <color indexed="81"/>
            <rFont val="Tahoma"/>
            <family val="2"/>
          </rPr>
          <t>S. haematobium is 18eggs per 10 mL</t>
        </r>
      </text>
    </comment>
    <comment ref="K23" authorId="0">
      <text>
        <r>
          <rPr>
            <sz val="9"/>
            <color indexed="81"/>
            <rFont val="Tahoma"/>
            <family val="2"/>
          </rPr>
          <t>S. haematobium is 3.6</t>
        </r>
      </text>
    </comment>
    <comment ref="K24" authorId="0">
      <text>
        <r>
          <rPr>
            <sz val="9"/>
            <color indexed="81"/>
            <rFont val="Arial"/>
            <family val="2"/>
          </rPr>
          <t>Relatively high haemotobium intensity here (19.7 eggs per 10ml)</t>
        </r>
      </text>
    </comment>
    <comment ref="E25" authorId="0">
      <text>
        <r>
          <rPr>
            <sz val="9"/>
            <color indexed="81"/>
            <rFont val="Tahoma"/>
            <family val="2"/>
          </rPr>
          <t xml:space="preserve">Ben R says: it's true that they didn't look for haemotobium b/c they didn't think they'd find any, but mansoni prevalence was 6.3%.
</t>
        </r>
      </text>
    </comment>
    <comment ref="B26" authorId="0">
      <text>
        <r>
          <rPr>
            <sz val="9"/>
            <color indexed="81"/>
            <rFont val="Tahoma"/>
            <family val="2"/>
          </rPr>
          <t>For simplicity, (conservatively) assuming individuals only have 1 STH infection.</t>
        </r>
      </text>
    </comment>
    <comment ref="K39" authorId="0">
      <text>
        <r>
          <rPr>
            <sz val="9"/>
            <color indexed="81"/>
            <rFont val="Tahoma"/>
            <family val="2"/>
          </rPr>
          <t>In the past, we multipled by 2 since haemotobium is left out and is heavy in some areas (left out because similar data is not available for M&amp;K) but we decided to remove this adjustment to be more conservative.</t>
        </r>
      </text>
    </comment>
    <comment ref="E53" authorId="0">
      <text>
        <r>
          <rPr>
            <sz val="9"/>
            <color indexed="81"/>
            <rFont val="Arial"/>
            <family val="2"/>
          </rPr>
          <t>S. Haematobium was only measured in one province where S. Haematobium was widespread, so to calculate overall prevalence of S Haematobium, the prevalence from this province is multiplied by the percentage of children dewormed overall that were located in this province.  Percentage of children is calculated in the unpublished file 'GiveWell's edited Y1_District_Report to calculate percentage of treatments in Coast Province'.   "Urine samples were obtained only from children in Coast Province (where Schistosoma haematobium is widespread)" P 3, Mwandawiro et al, 2013: 'Monitoring and evaluating the impact of national school-based deworming in Kenya: study design and baseline results'</t>
        </r>
      </text>
    </comment>
    <comment ref="K53" authorId="0">
      <text>
        <r>
          <rPr>
            <sz val="9"/>
            <color indexed="81"/>
            <rFont val="Arial"/>
            <family val="2"/>
          </rPr>
          <t>S. haematobium is listed as '16' under eggs per gram, but this presumably means eggs per 10 ML. However S. haematobium was only present in 16% of the population (see comment in E53). p 13, Mwandawiro et al, 2013: 'Monitoring and evaluating the impact of national school-based deworming in Kenya: study design and baseline results' (available online)</t>
        </r>
      </text>
    </comment>
  </commentList>
</comments>
</file>

<file path=xl/comments5.xml><?xml version="1.0" encoding="utf-8"?>
<comments xmlns="http://schemas.openxmlformats.org/spreadsheetml/2006/main">
  <authors>
    <author>Author</author>
  </authors>
  <commentList>
    <comment ref="K4" authorId="0">
      <text>
        <r>
          <rPr>
            <sz val="9"/>
            <color indexed="81"/>
            <rFont val="Calibri"/>
            <family val="2"/>
          </rPr>
          <t>Equations from pg 33, http://www.who.int/quantifying_ehimpacts/publications/en/9241546204chap3.pdf</t>
        </r>
      </text>
    </comment>
    <comment ref="S5" authorId="0">
      <text>
        <r>
          <rPr>
            <sz val="9"/>
            <color indexed="81"/>
            <rFont val="Calibri"/>
            <family val="2"/>
          </rPr>
          <t>The constant is determined by the age-weight parameter beta; each parameter beta has an associated constant C. For more on how these constants are chosen, see Lopez et al. 2006, pg 401.</t>
        </r>
      </text>
    </comment>
  </commentList>
</comments>
</file>

<file path=xl/comments6.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7.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8.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9.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0.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1.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2.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3.xml><?xml version="1.0" encoding="utf-8"?>
<comments xmlns="http://schemas.openxmlformats.org/spreadsheetml/2006/main">
  <authors>
    <author>Author</author>
  </authors>
  <commentList>
    <comment ref="D7" authorId="0">
      <text>
        <r>
          <rPr>
            <b/>
            <sz val="9"/>
            <color indexed="81"/>
            <rFont val="Calibri"/>
            <family val="2"/>
          </rPr>
          <t>Author:</t>
        </r>
        <r>
          <rPr>
            <sz val="9"/>
            <color indexed="81"/>
            <rFont val="Calibri"/>
            <family val="2"/>
          </rPr>
          <t xml:space="preserve">
This discount rate primarily takes into account the potential for reinvestment of cash transfers and income gains (the discount is not applied in the model to any health benefits).</t>
        </r>
      </text>
    </commen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J7" authorId="0">
      <text>
        <r>
          <rPr>
            <sz val="9"/>
            <color indexed="81"/>
            <rFont val="Calibri"/>
            <family val="2"/>
          </rPr>
          <t>Uses only data from Kenya and Ethiopia to appoximate a forward looking estimate. Takes an average of a prevalence estimate using all types of worm infection and a prevalence estimate using only schistosomiasis.</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J8" authorId="0">
      <text>
        <r>
          <rPr>
            <sz val="9"/>
            <color indexed="81"/>
            <rFont val="Calibri"/>
            <family val="2"/>
          </rPr>
          <t xml:space="preserve"> Takes an average of a prevalence estimate using all types of worm infection and a prevalence estimate using only schistosomiasis.</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D10" authorId="0">
      <text>
        <r>
          <rPr>
            <b/>
            <sz val="9"/>
            <color indexed="81"/>
            <rFont val="Calibri"/>
            <family val="2"/>
          </rPr>
          <t>Author:</t>
        </r>
        <r>
          <rPr>
            <sz val="9"/>
            <color indexed="81"/>
            <rFont val="Calibri"/>
            <family val="2"/>
          </rPr>
          <t xml:space="preserve">
ROI is only modeled for cash transfers and not for the potential income gains from deworming, so I see this input as the difference between the returns expected from a dollar given through cash and the returns expected from a dollar in increased income (weighted upwards due to the opinions of other staff members). The discount rate also takes into account some positive effects of reinvestment for income gains that come sooner rather than later (giving more credit for a dollar given through a cash transfer than a dollar gains through future income increases, since money given sooner can be reinvested).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4.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5.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6.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7.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comments18.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the cash transfer supporting the whole family rather than just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F13" authorId="0">
      <text>
        <r>
          <rPr>
            <sz val="9"/>
            <color indexed="81"/>
            <rFont val="Tahoma"/>
            <family val="2"/>
          </rPr>
          <t>Our primary prevalence/intensity adjustment is based on comparing charities' current program areas to M&amp;K. We are unsure what the prevalence/intensity was in the areas where the short term health impacts were measured. This factor us used to re-calibrate the prevalence/intensity adjustment.
This should approximate the ratio of prevalence/intensity in areas of ST benefits relative to M&amp;K, so 1 means they were the same and &gt;1 implies that prevalence/intensity was lower in the areas of ST health benefits than in M&amp;K. (Setting this to the inverse of the input used for a charity's prevalence/intensity adjustment would mean that the charity is operating in areas comparable to the areas of the ST health benefits.)</t>
        </r>
      </text>
    </comment>
    <comment ref="L13"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I18" authorId="0">
      <text>
        <r>
          <rPr>
            <sz val="9"/>
            <color indexed="81"/>
            <rFont val="Tahoma"/>
            <family val="2"/>
          </rPr>
          <t>See note on parameters sheet for explanation.</t>
        </r>
      </text>
    </comment>
  </commentList>
</comments>
</file>

<file path=xl/comments19.xml><?xml version="1.0" encoding="utf-8"?>
<comments xmlns="http://schemas.openxmlformats.org/spreadsheetml/2006/main">
  <authors>
    <author>Author</author>
  </authors>
  <commentList>
    <comment ref="F7" authorId="0">
      <text>
        <r>
          <rPr>
            <sz val="9"/>
            <color indexed="81"/>
            <rFont val="Tahoma"/>
            <family val="2"/>
          </rPr>
          <t>Miguel and Kremer 2004 found benefits to future income for children who received deworming, but there was a substantial increase in the prevalence of worms between the first and second year, likely due to El Nino. Thus, the study may suffer from external validity problems - in more typical conditions, worm prevalence may be lower, and so the effect won't be as large as Miguel and Kremer 2004 found. Enter the value you find most appropriate with which to discount this difference (i.e. the difference between estimated effects and what they would have been had worm prevalence not been elevated in the second year).</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Calibri"/>
            <family val="2"/>
          </rPr>
          <t>This is only applied to the proportion that is invested.</t>
        </r>
      </text>
    </comment>
    <comment ref="F10" authorId="0">
      <text>
        <r>
          <rPr>
            <sz val="9"/>
            <color indexed="81"/>
            <rFont val="Tahoma"/>
            <family val="2"/>
          </rPr>
          <t>How much are the developmental benefits of deworming (approximately a 25% increase in lifetime income)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F11" authorId="0">
      <text>
        <r>
          <rPr>
            <sz val="9"/>
            <color indexed="81"/>
            <rFont val="Tahoma"/>
            <family val="2"/>
          </rPr>
          <t>Deworming has short term and long term benefits. We use this value to convert the short term health benefits into financial terms, by multiplying it by the value of the short term health benefits in DALY terms.
Increasing ln(income) by one unit roughly doubles income, so one way to think about this number is: "how many years of roughly doubling one's income are equivalent to an extra healthy year of life (one DALY)?"
A high value for this column indicates a low value placed on income relative to DALYs/lives, so should correspond to a low value in the cell above, because putting a low value on income suggests that the income-based benefits of deworming are of relatively low value compared to DALYs/lives.</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proportion of households that previously weren't getting iodized salt that now will as a result of national salt iodization.</t>
        </r>
      </text>
    </comment>
    <comment ref="L13" authorId="0">
      <text>
        <r>
          <rPr>
            <sz val="9"/>
            <color indexed="81"/>
            <rFont val="Tahoma"/>
            <family val="2"/>
          </rPr>
          <t>Enter the probability that GAIN or ICCIDD are causing salt iodization that wouldn't have happened anyway.</t>
        </r>
      </text>
    </comment>
    <comment ref="C14" authorId="0">
      <text>
        <r>
          <rPr>
            <b/>
            <sz val="9"/>
            <color indexed="81"/>
            <rFont val="Tahoma"/>
            <family val="2"/>
          </rPr>
          <t>Author:</t>
        </r>
        <r>
          <rPr>
            <sz val="9"/>
            <color indexed="81"/>
            <rFont val="Tahoma"/>
            <family val="2"/>
          </rPr>
          <t xml:space="preserve">
Length of capital investments (e.g. iron roofs)</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I15" authorId="0">
      <text>
        <r>
          <rPr>
            <sz val="9"/>
            <color indexed="81"/>
            <rFont val="Tahoma"/>
            <family val="2"/>
          </rPr>
          <t xml:space="preserve">The long term benefits of deworming likely only accrue to children. Short term health benefits likely impact both children and adults. </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List>
</comments>
</file>

<file path=xl/comments20.xml><?xml version="1.0" encoding="utf-8"?>
<comments xmlns="http://schemas.openxmlformats.org/spreadsheetml/2006/main">
  <authors>
    <author>Author</author>
  </authors>
  <commentList>
    <comment ref="F7" authorId="0">
      <text>
        <r>
          <rPr>
            <sz val="9"/>
            <color indexed="81"/>
            <rFont val="Tahoma"/>
            <family val="2"/>
          </rPr>
          <t xml:space="preserve">The baseline prevalence (in 1998) for the first group to receive deworming treatment was significantly lower than the baseline prevalence (in 1999) for the second group to receive deworming treatment, plausibly due to an unusually strong El Nino. Given this, we believe the baseline prevalence from 1998 underestimates how much that group stood to benefit from deworming. </t>
        </r>
      </text>
    </comment>
    <comment ref="I7"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F8" authorId="0">
      <text>
        <r>
          <rPr>
            <sz val="9"/>
            <color indexed="81"/>
            <rFont val="Tahoma"/>
            <family val="2"/>
          </rPr>
          <t>Biomedical research often is not reliable. Enter your expected probability that the developmental impact found by Miguel and Kremer 2004 actually exists.</t>
        </r>
      </text>
    </comment>
    <comment ref="I8" authorId="0">
      <text>
        <r>
          <rPr>
            <sz val="9"/>
            <color indexed="81"/>
            <rFont val="Tahoma"/>
            <family val="2"/>
          </rPr>
          <t>Adjustment for the possibility that worm prevalence in the treated area is less than in the area where Miguel and Kremer 2004 found benefits from deworming (in the first year, separate from any El Nino effect).</t>
        </r>
      </text>
    </comment>
    <comment ref="L8" authorId="0">
      <text>
        <r>
          <rPr>
            <sz val="9"/>
            <color indexed="81"/>
            <rFont val="Tahoma"/>
            <family val="2"/>
          </rPr>
          <t>Biomedical research often is not reliable. Enter your expected probability that the IQ impact found by studies of iodine actually exists.</t>
        </r>
      </text>
    </comment>
    <comment ref="AD8" authorId="0">
      <text>
        <r>
          <rPr>
            <sz val="9"/>
            <color indexed="81"/>
            <rFont val="Tahoma"/>
            <family val="2"/>
          </rPr>
          <t>Conceptually, it should be consistent with other inputs, as we've derived here. This framing can be used as a spot check on the intuition for the other inputs.
How much are the developmental benefits of deworming (approximately a 25% increase in lifetime income, potentially supporting multiple people in a household) worth, relative to saving a life? One way to think about this figure is: one life saved is as good as how many people gaining the development benefits from deworming?
A high value for this column indicates a high value placed on income relative to DALYs/lives, which should correspond to a low value placed in the cell below, as putting a high value on income suggests that not relatively few years of increased income are equivalent to a DALY.</t>
        </r>
      </text>
    </comment>
    <comment ref="F9" authorId="0">
      <text>
        <r>
          <rPr>
            <sz val="9"/>
            <color indexed="81"/>
            <rFont val="Tahoma"/>
            <family val="2"/>
          </rPr>
          <t>Miguel and Kremer 2004 found benefits to future income after 2.41 years of treatment, but programs aim to deworm children for 10 years. Enter the proportion of those 10 years that you expect are helpful to children's development.</t>
        </r>
      </text>
    </comment>
    <comment ref="I9" authorId="0">
      <text>
        <r>
          <rPr>
            <sz val="9"/>
            <color indexed="81"/>
            <rFont val="Tahoma"/>
            <family val="2"/>
          </rPr>
          <t>Deworm the World may "leverage" donations by increasing the amount that governments spend on deworming. Enter the appropriate value for the extent to which you expect this to happen. 100% means that no leverage happens (i.e. that DtW funds are responsible for the same proportion of total impact as total funding), numbers above 100% assume leverage occurs, and numbers below 100% imply that leverage is working in reverse and Deworm the World is spending some money the government would have spent anyway.</t>
        </r>
      </text>
    </comment>
    <comment ref="L9" authorId="0">
      <text>
        <r>
          <rPr>
            <sz val="9"/>
            <color indexed="81"/>
            <rFont val="Tahoma"/>
            <family val="2"/>
          </rPr>
          <t>Studies of the effects of iodine may have taken place under particularly favorable conditions. Enter the fraction of the effect that those studies found that you expect in typical conditions.</t>
        </r>
      </text>
    </comment>
    <comment ref="C10" authorId="0">
      <text>
        <r>
          <rPr>
            <sz val="9"/>
            <color indexed="81"/>
            <rFont val="Tahoma"/>
            <family val="2"/>
          </rPr>
          <t>This is only applied to the proportion that is invested.</t>
        </r>
      </text>
    </comment>
    <comment ref="F10" authorId="0">
      <text>
        <r>
          <rPr>
            <sz val="9"/>
            <color indexed="81"/>
            <rFont val="Tahoma"/>
            <family val="2"/>
          </rPr>
          <t>Increasing ln(income) by one unit roughly doubles income, so one way to think about this number is: "how many years of roughly doubling one's income are equivalent to an extra healthy year of life (one DALY)?"</t>
        </r>
      </text>
    </comment>
    <comment ref="I10" authorId="0">
      <text>
        <r>
          <rPr>
            <sz val="9"/>
            <color indexed="81"/>
            <rFont val="Tahoma"/>
            <family val="2"/>
          </rPr>
          <t>SCI may "leverage" donations by increasing the amount that governments spend on deworming. Enter the appropriate value for the extent to which you expect this to happen. 100% means that no leverage happens (i.e. that SCI funds are responsible for the same proportion of total impact as total funding), numbers above 100% assume leverage occurs, and numbers below 100% imply that leverage is working in reverse and SCI is spending some money the government would have spent anyway.</t>
        </r>
      </text>
    </comment>
    <comment ref="L10" authorId="0">
      <text>
        <r>
          <rPr>
            <sz val="9"/>
            <color indexed="81"/>
            <rFont val="Tahoma"/>
            <family val="2"/>
          </rPr>
          <t>Enter the proportion by which you think ICCIDD/GAIN may leverage government funds for iodine fortification.</t>
        </r>
      </text>
    </comment>
    <comment ref="AB10" authorId="0">
      <text>
        <r>
          <rPr>
            <sz val="9"/>
            <color indexed="81"/>
            <rFont val="Tahoma"/>
            <family val="2"/>
          </rPr>
          <t>Enter "Yes" or "No"</t>
        </r>
      </text>
    </comment>
    <comment ref="F11" authorId="0">
      <text>
        <r>
          <rPr>
            <sz val="9"/>
            <color indexed="81"/>
            <rFont val="Tahoma"/>
            <family val="2"/>
          </rPr>
          <t>If a person treated for deworming earns more money and supports a family, then multiple people may have improved lives (via higher consumption) rather than just the person who was dewormed. (Similar to cash transfers, which are modeled as divided evenly among all members of the household – approximately five – as opposed to benefiting only the recipient)
Enter the number of household members (including the person who received deworming treatment) who's consumption will be increased by the amount of income increase observed for the length of the income earners career. For example, if you expect the deworming recipient is the only wage earner and their household members will be dependent for their entire career, this is simply the number of household members, or if s/he earns half the household income, this is half the household members. A dependent only being in the household for half the career would suggest a smaller number (though greater than .5 given discounting). Other alternatives require similarly nuanced considerations.
We make the same assumption for benefits of iodine and for the development benefits from bednet coverage.</t>
        </r>
      </text>
    </comment>
    <comment ref="I11" authorId="0">
      <text>
        <r>
          <rPr>
            <sz val="9"/>
            <color indexed="81"/>
            <rFont val="Tahoma"/>
            <family val="2"/>
          </rPr>
          <t>See note on parameters sheet for explanation.</t>
        </r>
      </text>
    </comment>
    <comment ref="L11" authorId="0">
      <text>
        <r>
          <rPr>
            <sz val="9"/>
            <color indexed="81"/>
            <rFont val="Tahoma"/>
            <family val="2"/>
          </rPr>
          <t>There is some evidence that IQ increases fade out over time. Enter the proportion of the effect that you think actually persists over time.</t>
        </r>
      </text>
    </comment>
    <comment ref="L12" authorId="0">
      <text>
        <r>
          <rPr>
            <sz val="9"/>
            <color indexed="81"/>
            <rFont val="Tahoma"/>
            <family val="2"/>
          </rPr>
          <t>Enter the probability that GAIN or ICCIDD are causing salt iodization that wouldn't have happened anyway.</t>
        </r>
      </text>
    </comment>
    <comment ref="I14" authorId="0">
      <text>
        <r>
          <rPr>
            <sz val="9"/>
            <color indexed="81"/>
            <rFont val="Tahoma"/>
            <family val="2"/>
          </rPr>
          <t>The long term benefits of deworming likely only accrue to children. Short term health benefits likely impact both children and adults.</t>
        </r>
      </text>
    </comment>
    <comment ref="L14" authorId="0">
      <text>
        <r>
          <rPr>
            <sz val="9"/>
            <color indexed="81"/>
            <rFont val="Tahoma"/>
            <family val="2"/>
          </rPr>
          <t>Studies have found that iodine increases IQ, but it is possible that in developing countries increased IQ does not lead to actual improvements in quality of life. (E.g. Baird et al 2012 found no effect of deworming on non-wage earners, even though wage earners were better off, presumably do to some developmental, possibly mental, effects of deworming). Enter the percentage of children who's quality of life you expect will actually benefit from the effects of iodine.</t>
        </r>
      </text>
    </comment>
    <comment ref="L15" authorId="0">
      <text>
        <r>
          <rPr>
            <sz val="9"/>
            <color indexed="81"/>
            <rFont val="Tahoma"/>
            <family val="2"/>
          </rPr>
          <t>Note that studies of iodine have found increases in IQ, not wages. Here we use wages for comparison to deworming, relying on an assumption that there is a connection. Enter the expected increase in wages from having sufficient iodine throughout childhood (more specifically, the equivalent wage increase to the IQ benefit you expect).</t>
        </r>
      </text>
    </comment>
    <comment ref="C16" authorId="0">
      <text>
        <r>
          <rPr>
            <sz val="9"/>
            <color indexed="81"/>
            <rFont val="Calibri"/>
            <family val="2"/>
          </rPr>
          <t>At the end of the period for which investments make returns, some of the original invested money may be regained.  For instance, materials for iron roofs may be resold for some percentage of the original value, or items bought for businesses may be resold.
Enter the percentage of the original value of investment that you'd expect to be returned. For instance, 50% in the case of an iron roof investment would imply that on average the iron roof will be resold for 50% of the money originally spent on materials and installing the roof.</t>
        </r>
      </text>
    </comment>
    <comment ref="L18" authorId="0">
      <text>
        <r>
          <rPr>
            <sz val="9"/>
            <color indexed="81"/>
            <rFont val="Calibri"/>
            <family val="2"/>
          </rPr>
          <t>In some of the cases where AMF does not make a bednet distribution, a different funder takes AMF's place so that the distribution still moves forward with some delay. This input accounts for how much we should discount the value of an AMF distribution given that a different funder may take AMF's place in its absence.</t>
        </r>
      </text>
    </comment>
    <comment ref="I20" authorId="0">
      <text>
        <r>
          <rPr>
            <sz val="9"/>
            <color indexed="81"/>
            <rFont val="Tahoma"/>
            <family val="2"/>
          </rPr>
          <t>See note on parameters sheet for explanation.</t>
        </r>
      </text>
    </comment>
  </commentList>
</comments>
</file>

<file path=xl/sharedStrings.xml><?xml version="1.0" encoding="utf-8"?>
<sst xmlns="http://schemas.openxmlformats.org/spreadsheetml/2006/main" count="3346" uniqueCount="875">
  <si>
    <t>Discount rate</t>
  </si>
  <si>
    <t>Duration of benefits of cash transfers (years)</t>
  </si>
  <si>
    <t>Short term health benefits of deworming (DALYs per person treated)</t>
  </si>
  <si>
    <t>ROI, cash transfers</t>
  </si>
  <si>
    <t>External validity of deworming research</t>
  </si>
  <si>
    <t>% of transfers invested</t>
  </si>
  <si>
    <t>Replicability adjustment for  deworming</t>
  </si>
  <si>
    <r>
      <t xml:space="preserve">Cost per person dewormed - </t>
    </r>
    <r>
      <rPr>
        <b/>
        <i/>
        <sz val="8"/>
        <color indexed="8"/>
        <rFont val="Calibri"/>
        <family val="2"/>
      </rPr>
      <t>SCI</t>
    </r>
  </si>
  <si>
    <r>
      <t xml:space="preserve">Prevalence/ intensity adjustment - </t>
    </r>
    <r>
      <rPr>
        <b/>
        <i/>
        <sz val="8"/>
        <color indexed="8"/>
        <rFont val="Calibri"/>
        <family val="2"/>
      </rPr>
      <t>DtW</t>
    </r>
  </si>
  <si>
    <r>
      <t xml:space="preserve">Prevalence/ intensity adjustment - </t>
    </r>
    <r>
      <rPr>
        <b/>
        <i/>
        <sz val="8"/>
        <color indexed="8"/>
        <rFont val="Calibri"/>
        <family val="2"/>
      </rPr>
      <t>SCI</t>
    </r>
  </si>
  <si>
    <r>
      <t xml:space="preserve">Proportion of deworming going to children - </t>
    </r>
    <r>
      <rPr>
        <b/>
        <i/>
        <sz val="8"/>
        <color indexed="8"/>
        <rFont val="Calibri"/>
        <family val="2"/>
      </rPr>
      <t xml:space="preserve"> SCI</t>
    </r>
  </si>
  <si>
    <r>
      <t xml:space="preserve">Proportion of deworming going to children - </t>
    </r>
    <r>
      <rPr>
        <b/>
        <i/>
        <sz val="8"/>
        <color indexed="8"/>
        <rFont val="Calibri"/>
        <family val="2"/>
      </rPr>
      <t xml:space="preserve"> DtW</t>
    </r>
  </si>
  <si>
    <t>General</t>
  </si>
  <si>
    <t>Deworming - general</t>
  </si>
  <si>
    <t>Cash transfers</t>
  </si>
  <si>
    <t>Proportion of dewormed children that end up working for wages</t>
  </si>
  <si>
    <t>Years of deworming treatment in Miguel and Kremer 2004</t>
  </si>
  <si>
    <t>Size of transfer</t>
  </si>
  <si>
    <t>Size of transfer per person</t>
  </si>
  <si>
    <t>Transfers as a percentage of total cost</t>
  </si>
  <si>
    <t>Values:</t>
  </si>
  <si>
    <t>Source:</t>
  </si>
  <si>
    <t>Baird et al 2012</t>
  </si>
  <si>
    <t>http://www.givewell.org/node/2202#Grantstructure</t>
  </si>
  <si>
    <t>Treatment effect of deworming on Ln(total labor earnings)</t>
  </si>
  <si>
    <t>Cost per person-year of protection for under 14's</t>
  </si>
  <si>
    <t xml:space="preserve">Baseline annual consumption per capita </t>
  </si>
  <si>
    <t>Average family size of cash transfer recipients</t>
  </si>
  <si>
    <r>
      <t xml:space="preserve">Cost per person dewormed - </t>
    </r>
    <r>
      <rPr>
        <b/>
        <i/>
        <sz val="8"/>
        <color indexed="8"/>
        <rFont val="Calibri"/>
        <family val="2"/>
      </rPr>
      <t>DtW</t>
    </r>
  </si>
  <si>
    <t>Fixed assumptions</t>
  </si>
  <si>
    <t>Present value of the sum of the lifetime benefits per worker  (in terms of Ln(income))</t>
  </si>
  <si>
    <t>Adjusted per person total benefits (Ln(income))</t>
  </si>
  <si>
    <t>SCI</t>
  </si>
  <si>
    <t>DtW</t>
  </si>
  <si>
    <t>Proportional increase in consumption per dollar</t>
  </si>
  <si>
    <t>Increase in current consumption from spending the transfer (Ln(income))</t>
  </si>
  <si>
    <t>Present value of net increase in current and future consumption</t>
  </si>
  <si>
    <t>The cost of saving a life through bednets buys you this many person-years of increasing ln(income) by 1:</t>
  </si>
  <si>
    <t>Bednets</t>
  </si>
  <si>
    <t>Deworming (charity specific)</t>
  </si>
  <si>
    <t>times as cost effective as cash transfers</t>
  </si>
  <si>
    <t>SCI is</t>
  </si>
  <si>
    <t>Deworm the World</t>
  </si>
  <si>
    <t>Schistosomiasisis Control Initiative:</t>
  </si>
  <si>
    <t>Deworm the World:</t>
  </si>
  <si>
    <t xml:space="preserve">Input values here: </t>
  </si>
  <si>
    <t>Dollars of benefit per dollar spent, cash</t>
  </si>
  <si>
    <t>Notes</t>
  </si>
  <si>
    <t>Cash</t>
  </si>
  <si>
    <t>ROI of cash transfers</t>
  </si>
  <si>
    <t>Shared</t>
  </si>
  <si>
    <t>Discount Rate</t>
  </si>
  <si>
    <t>Arbitrary low assumption</t>
  </si>
  <si>
    <t>http://www.givewell.org/files/DWDA%202009/Interventions/Deworming/Miguel%20Kremer%20Worms%20-%20Identifying%20Impacts%20on%20Education%20and%20Health%20in%20the%20Presence%20of%20Treatment%20Externalities.pdf</t>
  </si>
  <si>
    <t>Proportion of child-years that are as helpful (in terms of developmental effects) as the specific years in the study  for deworming</t>
  </si>
  <si>
    <t>SCI-specific</t>
  </si>
  <si>
    <t>Cost per person</t>
  </si>
  <si>
    <t>Proportion of deworming going to children</t>
  </si>
  <si>
    <t>Prevalence/intensity adjustment</t>
  </si>
  <si>
    <t>DtW-specific</t>
  </si>
  <si>
    <t>Deworming</t>
  </si>
  <si>
    <t>Duration of benefits in years</t>
  </si>
  <si>
    <t>http://www.givewell.org/international/top-charities/give-directly</t>
  </si>
  <si>
    <t>Average family size</t>
  </si>
  <si>
    <t>Baseline annual consumption per capita, USD</t>
  </si>
  <si>
    <t>Cost per death averted, total cost, baseline scenario</t>
  </si>
  <si>
    <t>Cost per person-year of protection: under-14's only, total cost, baseline scenario</t>
  </si>
  <si>
    <t>Large transfer size, USD</t>
  </si>
  <si>
    <t>Small transfer size, USD</t>
  </si>
  <si>
    <t>PPP multiplier</t>
  </si>
  <si>
    <t>Large transfer size population (HH)</t>
  </si>
  <si>
    <t>Small transfer population (HH)</t>
  </si>
  <si>
    <t>Mean transfer, USD</t>
  </si>
  <si>
    <t>Mean transfer, USD PPP</t>
  </si>
  <si>
    <t>Roof cost, USD PPP</t>
  </si>
  <si>
    <t>Control group per capita monthly consumption, USD</t>
  </si>
  <si>
    <t>Control group per capita annual consumption, USD</t>
  </si>
  <si>
    <t>Min</t>
  </si>
  <si>
    <t>Max</t>
  </si>
  <si>
    <t>http://www.givewell.org/international/technical/programs/cash-transfers#Whatreturnoninvestmentdocashtransferrecipientsearn</t>
  </si>
  <si>
    <t>Gertler, Martinez, and Rubio-Codina (2012)</t>
  </si>
  <si>
    <t>de Mel, McKenzie, and Woodruff </t>
  </si>
  <si>
    <t>Fafchamps et al. (2011)</t>
  </si>
  <si>
    <t>ROI was not explicitly estimated, but likely would have been statistically indistinguishable from 0</t>
  </si>
  <si>
    <t>McKenzie and Woodruff 2008</t>
  </si>
  <si>
    <t>Blattman, Fiala, and Martinez 2013</t>
  </si>
  <si>
    <t>Blattman et al 2013</t>
  </si>
  <si>
    <t>Preferred estimate</t>
  </si>
  <si>
    <t>Percentage of transfers invested</t>
  </si>
  <si>
    <t>http://www.givewell.org/files/DWDA%202009/Interventions/Deworming/MK%20Reanalysis/KLPS-Labor_2012-08-05.pdf</t>
  </si>
  <si>
    <t>Miguel and Kremer 2004</t>
  </si>
  <si>
    <t>Assumes that every year of deworming is as beneficial as each year in the study</t>
  </si>
  <si>
    <t>http://www.plosmedicine.org/article/info:doi/10.1371/journal.pmed.0020124</t>
  </si>
  <si>
    <t>Ioannidis 2005, "Why Most Published Research Findings Are False"</t>
  </si>
  <si>
    <t>ALB analysis.html</t>
  </si>
  <si>
    <r>
      <t xml:space="preserve">Proportion of work not already taken care of by LF treatment - </t>
    </r>
    <r>
      <rPr>
        <b/>
        <i/>
        <sz val="8"/>
        <color theme="1"/>
        <rFont val="Calibri"/>
        <family val="2"/>
        <scheme val="minor"/>
      </rPr>
      <t>DtW</t>
    </r>
  </si>
  <si>
    <t>Accounts for the fact that in some places in which DtW works, treatment for Lymphatic Filariasis, which uses similar drugs, may render DtW's work unnecessary</t>
  </si>
  <si>
    <t>Years of treatment assigned in the Miguel and Kremer 2004 study</t>
  </si>
  <si>
    <r>
      <t xml:space="preserve">Treatment effect of deworming on </t>
    </r>
    <r>
      <rPr>
        <sz val="11"/>
        <color indexed="8"/>
        <rFont val="Calibri"/>
        <family val="2"/>
        <scheme val="minor"/>
      </rPr>
      <t>Ln(Total labor earnings), monthly</t>
    </r>
  </si>
  <si>
    <t>Derived using the fact that the authors equate 1085 USD with 1,525 PPP</t>
  </si>
  <si>
    <t>Control group household monthly consumption, USD PPP</t>
  </si>
  <si>
    <t>Control group household monthly consumption, USD</t>
  </si>
  <si>
    <t>Long-term ROI of cash transfers - evidence from randomized controlled trials</t>
  </si>
  <si>
    <t>For links to these RCTs of cash transfers, see:</t>
  </si>
  <si>
    <t>and:</t>
  </si>
  <si>
    <t>Combines certain of the studies (see formula in cell)</t>
  </si>
  <si>
    <t>These results have been divided by two in both cases to account for the fact that only male business owners experienced benefits. Monthly result multiplied by 12.</t>
  </si>
  <si>
    <t>High attrition, some issues with identification, and limited sample (including only men). Monthly result multiplied by 12.</t>
  </si>
  <si>
    <t>Same as deworming</t>
  </si>
  <si>
    <t>Low end estimate</t>
  </si>
  <si>
    <t>DCP2 Spreadsheet</t>
  </si>
  <si>
    <t>Same as Possibility 1 but 3% discount rate</t>
  </si>
  <si>
    <t>Same as Possibility 1 but 0% discount rate</t>
  </si>
  <si>
    <t>Proportion of work not already taken care of by LF treatment - SCI</t>
  </si>
  <si>
    <t>This adjustment is more important for DtW, but there is some possibility of SCI's work overlapping with existing LF treatment</t>
  </si>
  <si>
    <t>Year</t>
  </si>
  <si>
    <t>Initial balance</t>
  </si>
  <si>
    <t>Cash flow from initial spending</t>
  </si>
  <si>
    <t>Cash flow from investment return</t>
  </si>
  <si>
    <t>End of year balance</t>
  </si>
  <si>
    <t>Total annual additional income</t>
  </si>
  <si>
    <t>Total annual income in ln terms</t>
  </si>
  <si>
    <t>"Cost Effectiveness of LLIN Distribution" spreadsheet</t>
  </si>
  <si>
    <t>Sum of benefits from year 1 onward</t>
  </si>
  <si>
    <t>Net Cost spreadsheet</t>
  </si>
  <si>
    <t>Best guess; based on general returns to investment</t>
  </si>
  <si>
    <t>Adjusting for the fact that worm prevalence was much higher in the area of study in year 2 of Miguel and Kremer 2004 than in year 1 (likely from El Nino effects)</t>
  </si>
  <si>
    <t>Short term health benefits, in DALY terms</t>
  </si>
  <si>
    <t>Replicability adjustment (applies to deworming but not cash)</t>
  </si>
  <si>
    <t>High end of Ioannidis 2005's theoretical replicability (Table 4 in http://www.plosmedicine.org/article/info:doi/10.1371/journal.pmed.0020124): "Adequately powered RCT with little bias and 1:1 pre-study odds"</t>
  </si>
  <si>
    <t>Increased asset value, large transfer, PPP</t>
  </si>
  <si>
    <t>Increased monthly consumption, large transfer, PPP</t>
  </si>
  <si>
    <t>Estimated roof IRR, assuming 20 year lifetime</t>
  </si>
  <si>
    <t>Simple roof IRR, assuming infinite lifetime</t>
  </si>
  <si>
    <t>Calculation</t>
  </si>
  <si>
    <t>Reported roof ROI</t>
  </si>
  <si>
    <t>Based on the idea that research findings are often not replicable</t>
  </si>
  <si>
    <t>Moderately conservative</t>
  </si>
  <si>
    <t>Moderately aggressive</t>
  </si>
  <si>
    <t>Discounted to the present</t>
  </si>
  <si>
    <t>Name</t>
  </si>
  <si>
    <t>DALYs per life</t>
  </si>
  <si>
    <t>Lives saved per $1000 - excluding minor health benefits</t>
  </si>
  <si>
    <t>Lives saved per $1000 - minor health benefits</t>
  </si>
  <si>
    <t>Lives saved per $1000 - total</t>
  </si>
  <si>
    <t>Relative value of developmental benefits to saving a life</t>
  </si>
  <si>
    <t>% of years of childhood in which deworming is helpful for development</t>
  </si>
  <si>
    <t xml:space="preserve">Cost per life saved for bednets </t>
  </si>
  <si>
    <t>Present value of the sum of future benefits from cash transfers (ln income)</t>
  </si>
  <si>
    <t>Lopez et al. 2006</t>
  </si>
  <si>
    <t>Baird et al. 2012</t>
  </si>
  <si>
    <t>http://www.givewell.org/files/DWDA%202009/Interventions/Global%20Burden%20of%20Disease%20and%20Risk%20Factors.pdf</t>
  </si>
  <si>
    <t>Cost per equivalent life saved</t>
  </si>
  <si>
    <t>I23</t>
  </si>
  <si>
    <t>I24</t>
  </si>
  <si>
    <t>___ times as cost effective as cash transfers</t>
  </si>
  <si>
    <t>Annual cost of repairs and replacements for a thatched roof, USD PPP</t>
  </si>
  <si>
    <t>For more, see:</t>
  </si>
  <si>
    <t>http://www.givewell.org/international/technical/programs/cash-transfers/#Whatreturnoninvestmentdocashtransferrecipientsearn</t>
  </si>
  <si>
    <t>http://www.givewell.org/international/technical/programs/deworming/reanalysis#Externalvalidity</t>
  </si>
  <si>
    <t>Unpublished</t>
  </si>
  <si>
    <t>Worms at Work Spreadsheet (worms-at-work_Table 4_2012-08-02_final)</t>
  </si>
  <si>
    <t>Original AMF data available here: http://www.againstmalaria.com/FinancialInformation.aspx</t>
  </si>
  <si>
    <t>http://www.givewell.org/files/DWDA%202009/Interventions/Nets/GiveWell%20net%20cost%20estimates%202013.xls</t>
  </si>
  <si>
    <r>
      <t xml:space="preserve">Leverage (dollar of impact per dollar spent) - </t>
    </r>
    <r>
      <rPr>
        <b/>
        <i/>
        <sz val="8"/>
        <color theme="1"/>
        <rFont val="Calibri"/>
        <family val="2"/>
        <scheme val="minor"/>
      </rPr>
      <t>DtW</t>
    </r>
  </si>
  <si>
    <r>
      <t xml:space="preserve">Leverage (dollar of impact per dollar spent) - </t>
    </r>
    <r>
      <rPr>
        <b/>
        <i/>
        <sz val="8"/>
        <color theme="1"/>
        <rFont val="Calibri"/>
        <family val="2"/>
        <scheme val="minor"/>
      </rPr>
      <t>SCI</t>
    </r>
  </si>
  <si>
    <t>Leverage (dollar of impact per dollar spent) - SCI</t>
  </si>
  <si>
    <t>Leverage (dollar of impact per dollar spent) - DtW</t>
  </si>
  <si>
    <t>Iodine</t>
  </si>
  <si>
    <t>Replicability</t>
  </si>
  <si>
    <t>External validity</t>
  </si>
  <si>
    <t>Benefit on one year's income (discounted back 10 years because of delay between deworming and working for income)</t>
  </si>
  <si>
    <t>Sum of the long term benefits per year of treatment (in terms of Ln(income))</t>
  </si>
  <si>
    <t>Short term health benefits (deworming only) in terms of Ln(income)</t>
  </si>
  <si>
    <t>Iodine:</t>
  </si>
  <si>
    <t>Cost per person per year</t>
  </si>
  <si>
    <t>Probability that GAIN/ICCIDD has an impact</t>
  </si>
  <si>
    <t>Household coverage achieved</t>
  </si>
  <si>
    <t>% of children that benefit</t>
  </si>
  <si>
    <t>Years of Childhood (for iodine)</t>
  </si>
  <si>
    <t>By definition</t>
  </si>
  <si>
    <t>Equivalent increase in wages from having iodine throughout childhood</t>
  </si>
  <si>
    <t>Percent of population under 15</t>
  </si>
  <si>
    <t>% of benefit of iodine that lasts for the long term</t>
  </si>
  <si>
    <t>Leverage (dollars of impact per dollars spent)</t>
  </si>
  <si>
    <t xml:space="preserve">Iodine is </t>
  </si>
  <si>
    <t>1. Inputs:</t>
  </si>
  <si>
    <t>2. Calculations:</t>
  </si>
  <si>
    <t>3. Conclusions:</t>
  </si>
  <si>
    <t>Benefits of Deworming</t>
  </si>
  <si>
    <t>Benefits of Iodine</t>
  </si>
  <si>
    <t>2. The adjusted benefits of deworming (for DtW and SCI separately) and iodine are calculated based on relevant factors:</t>
  </si>
  <si>
    <t>3.  Equivalent lives saved by deworming and iodine are calculated:</t>
  </si>
  <si>
    <t>4. The benefits of cash transfers are calculated:</t>
  </si>
  <si>
    <t>"Salt iodization, large producers", Table 1, Horton, Mannar and Wesley 2008, Pg. 22 http://files.givewell.org/files/DWDA%202009/Interventions/Iodine/Horton,%20Mannar%20and%20Wesley%202008.pdf</t>
  </si>
  <si>
    <t>Average</t>
  </si>
  <si>
    <t>Higher than deworming because there have been 6 RCTs (but &lt;100% because there are some potential limitations of the studies)</t>
  </si>
  <si>
    <t>Pessimistic</t>
  </si>
  <si>
    <t>Optimistic</t>
  </si>
  <si>
    <t>Proportion of dewormed children that benefit from long term gains</t>
  </si>
  <si>
    <t>Baird et al 2012 only found a lasting effect in the group of 16.6% of people that ended up working for wages as adults</t>
  </si>
  <si>
    <t>DCP2 spreadsheet, "Average" of scenarios, health impacts: % of people impacted times disability weight. Meant to be the percentage of people who benefit multiplied by the disability weight (which represents a # of DALYs) to get the DALYs gained per pill distributed. Since deworming happens every year the length of time for this benefit is just the single year.</t>
  </si>
  <si>
    <t>No fade out effect</t>
  </si>
  <si>
    <t>Significant fade out effect.</t>
  </si>
  <si>
    <t>From our report on GAIN (http://www.givewell.org/international/charities/GAIN): "We have not seen compelling evidence that rates of salt iodization have increased in the countries GAIN has worked in nor that observed changes should be attributed to GAIN's work. We have looked more closely at four case studies, but the information we have is not fully compelling, in part because GAIN's work is often a few steps removed from the iodization process and because we have only a limited understanding of GAIN's role in each country. "</t>
  </si>
  <si>
    <t>Similar to deworming: assumes only wage earners and a minority of others will experience an increase in well-being thanks to IQ benefits of iodine</t>
  </si>
  <si>
    <t>Assumes that having iodine throughout childhood has a higher IQ/wage effect than has been found in the studies (which lasted 1-2 years)</t>
  </si>
  <si>
    <t>The average of the effect size (in standard deviations) estimated by Gordon et al 2009 and Zimmermann et al 2006 is 0.24, which equates to 3.6 IQ points. Assuming a little less than a 1% increase in wages with every 1 point increase in IQ, say a 0.75% increase, then an increase of 3.6 IQ points would lead to a 2.7% (0.24*15*.0075) increase in wages (15 is the size of one standard deviation)</t>
  </si>
  <si>
    <t>I33</t>
  </si>
  <si>
    <t>Slightly higher than midpoint due to Croke 2014 increasing likelihood that the effects found by Miguel and Kremer 2014 are replicable</t>
  </si>
  <si>
    <t>Discussion of Croke 2014</t>
  </si>
  <si>
    <t>http://blog.givewell.org/2014/10/03/a-promising-study-on-the-long-term-effects-of-deworming/</t>
  </si>
  <si>
    <t>Cost per life saved, bednets</t>
  </si>
  <si>
    <t>Use dropdown menus to select values, or input your own. See "Parameters" sheet for explanation of possible values. See comments on inputs for description.</t>
  </si>
  <si>
    <t>Other inputs (suggested values for these are slightly less  subjective)</t>
  </si>
  <si>
    <t>Optimistic, assumes benefits persist throughout the worker's career. Used in Worms at Work spreadsheet</t>
  </si>
  <si>
    <t>Duration of long term benefits of deworming (years) - also used for iodine</t>
  </si>
  <si>
    <t>Duration of long term benefits in years (also used for iodine)</t>
  </si>
  <si>
    <t>Pessimistic (although not extremely so - wage effects from Baird et al. 2012 were only measured at a single time), assumes wage benefits for workers only last one decade.</t>
  </si>
  <si>
    <t>Between pessimistic and optimistic</t>
  </si>
  <si>
    <t>http://data.worldbank.org/indicator/SP.POP.0014.TO.ZS/countries/SSA?display=graph</t>
  </si>
  <si>
    <t>Optimistic. Assumes ICCIDD/GAIN get governments to spend additional money on iodine programs.</t>
  </si>
  <si>
    <t>Slightly lower than GiveDirectly's estimate of the lifespan of a roof (http://blog.givewell.org/2012/12/19/cost-effectiveness-of-nets-vs-deworming-vs-cash-transfers/)</t>
  </si>
  <si>
    <t>"Salt iodization, small plants", Table 1, Horton, Mannar and Wesley 2008, Pg. 22 http://files.givewell.org/files/DWDA%202009/Interventions/Iodine/Horton,%20Mannar%20and%20Wesley%202008.pdf</t>
  </si>
  <si>
    <t>SCI Treatment Numbers (October 2014)</t>
  </si>
  <si>
    <t>http://www.givewell.org/files/DWDA%202009/SCI/SCI%20treatment%20numbers%20(October%202014).xlsx</t>
  </si>
  <si>
    <t>Probabilty DtW has an impact</t>
  </si>
  <si>
    <t>Very conservative - assumes negative return after discounting</t>
  </si>
  <si>
    <t>GiveWell's calculated roof ROI</t>
  </si>
  <si>
    <t>Roof ROI in http://files.givewell.org/files/DWDA%202009/Interventions/Cash%20Transfers/haushofer_shapiro_uct_2013.11.16.pdf, pg. 34.</t>
  </si>
  <si>
    <t xml:space="preserve">Arbitrary high upper estimate, since Haushofer and Shapiro 2013 reports that "most respondents were unable to put an upper bound on the durability of metal roofs." (http://files.givewell.org/files/DWDA%202009/Interventions/Cash%20Transfers/haushofer_shapiro_uct_2013.11.16.pdf, pg. 34) </t>
  </si>
  <si>
    <t>Intensity of worms</t>
  </si>
  <si>
    <t>https://docs.google.com/spreadsheets/d/1ER-tHrewjZ-JFJnI7Urg1hJBP2XwcnQ4mt_ZKvb9ZHM/edit#gid=0</t>
  </si>
  <si>
    <t>GiveWell analysis of SCI's cost per treatment</t>
  </si>
  <si>
    <t>GiveWell analysis of Deworm the World cost per treatment</t>
  </si>
  <si>
    <t>GiveWell estimate of total cost per treatment for SCI's recent programs, including drug costs and assuming government contributions (e.g. teacher time) account for 30% of total cost. See GiveWell analysis of SCI's cost per treatment</t>
  </si>
  <si>
    <t>http://www.givewell.org/international/charities/GAIN</t>
  </si>
  <si>
    <t>http://www.givewell.org/international/top-charities/give-directly#CashRatios</t>
  </si>
  <si>
    <t>http://www.givewell.org/international/top-charities/deworm-world-initiative#Whatisthecostpertreatment</t>
  </si>
  <si>
    <t>http://www.givewell.org/international/top-charities/deworm-world-initiative#comparison</t>
  </si>
  <si>
    <t>WHO schistosomiasis treatment gap data</t>
  </si>
  <si>
    <t>Rough midpoint of next two options</t>
  </si>
  <si>
    <t>Same as first option but excludes drug costs and government contributions (e.g. teacher time). See GiveWell analysis of SCI's cost per treatment</t>
  </si>
  <si>
    <t>Same as first option but excludes drug costs.  See GiveWell analysis of SCI's cost per treatment</t>
  </si>
  <si>
    <t>It is unclear to what extent SCI leverages government funds, if at all. (Note that the cost per treatment alternatives above allow for different perspectives on whether to count drug donations or government in-kind costs.)</t>
  </si>
  <si>
    <t>GiveWell estimate of total cost per treatment for Deworm the World's Kenya program, including drug costs and assuming government contributions (e.g. teacher time) account for 30% of total cost. See GiveWell analysis of Deworm the World cost per treatment.</t>
  </si>
  <si>
    <t>Same as first option but excludes drug costs and government contributions (e.g. teacher time). See GiveWell analysis of Deworm the World cost per treatment.</t>
  </si>
  <si>
    <t>Same as first option but excludes drug costs. See GiveWell analysis of Deworm the World cost per treatment.</t>
  </si>
  <si>
    <t>Deworm the World's programs target children. Adults are sometimes treated, but as far as we know, our cost per treatment estimates are based only on the number of children treated and include the total costs (so no further adjustment is needed).</t>
  </si>
  <si>
    <t>http://www.givewell.org/international/top-charities/deworm-world-initiative#leverage</t>
  </si>
  <si>
    <t>Probability that GAIN/IGN has an impact</t>
  </si>
  <si>
    <r>
      <t xml:space="preserve">We expect iodine to give a .25 SD increase in IQ, which is roughly 4 IQ points (from Salt Iodization Intervention Report http://www.givewell.org/international/technical/programs/salt-iodization#IQandlifeoutcomes). From DCP2 page 1100: ""For the United States, Zax and Rees (2002) estimate conser- vatively that an increase in IQ of 1 SD is associated with an increase in wages of more than 11 percent, falling to 6 percent when controlling for other covariates. Similar estimates for the relationship between IQ and earnings have been made for Indonesia (Behrman and Deolalikar 1995) and Pakistan (Alderman and others 1997) and in a review of developing countries (Glewwe 2002). In South Africa, an increase of 1 SD in literacy and numeracy scores was associated with a 35 percent increase in wages (Moll 1998). Extrapolating these results, a 0.25 SD increase in IQ, which is a conservative estimate of the benefit resulting from a school health intervention, would lead to an increase in wages of from 5 to 10 percent." http://www.ncbi.nlm.nih.gov/books/NBK11783/. /// Also see </t>
    </r>
    <r>
      <rPr>
        <i/>
        <sz val="11"/>
        <color theme="1"/>
        <rFont val="Calibri"/>
        <family val="2"/>
        <scheme val="minor"/>
      </rPr>
      <t>IQ in the Production Function: Evidence from Immigrant Earnings</t>
    </r>
    <r>
      <rPr>
        <sz val="11"/>
        <color theme="1"/>
        <rFont val="Calibri"/>
        <family val="2"/>
        <scheme val="minor"/>
      </rPr>
      <t>by Jones and Schneider (2008): In a variety of previous studies, the semi-elasticity of wages (denoted γ) has been close to 1%: Thus, 1 IQ point is associated with 1% higher wages, and a one-standard-deviation rise in IQ is associated with about a 1% [Typo] rise in wages.[4]...We take γ = 1% as reasonable estimate of best-practice labor econometric work; U.S. estimates often run a bit larger, while developing country estimates and estimates that control for education often run a bit smaller."</t>
    </r>
  </si>
  <si>
    <t>http://www.givewell.org/international/technical/programs/salt-iodization#Improvingmentalfunction</t>
  </si>
  <si>
    <t>http://www.ipc.umich.edu/mckenzie-ghana-edts-11-18-2010.pdf</t>
  </si>
  <si>
    <t>http://siteresources.worldbank.org/DEC/Resources/Experimental_Evidence_on_Returns_to_Capital_and_Access_to_Finance_in-Mexico.pdf</t>
  </si>
  <si>
    <t>http://qje.oxfordjournals.org/content/123/4/1329.short</t>
  </si>
  <si>
    <t>http://papers.ssrn.com/sol3/papers.cfm?abstract_id=2268552</t>
  </si>
  <si>
    <t>From Lopez et al. 2006, Table 5.1 pg 402. This number is the average of male and female life expectancy at age 5, using 3% discounting and standard age weights (valuing years in the middle of the life cycle more highly).</t>
  </si>
  <si>
    <t>World Bank's "Population between the ages 0 to 14 as a percentage of the total population" in 2014 in Sub-Saharan Africa (developing only) from: http://data.worldbank.org/indicator/SP.POP.0014.TO.ZS/countries/SSA?display=graph (accessed November 2015).</t>
  </si>
  <si>
    <t>D7</t>
  </si>
  <si>
    <t>D10</t>
  </si>
  <si>
    <t>D11</t>
  </si>
  <si>
    <t>G7</t>
  </si>
  <si>
    <t>G8</t>
  </si>
  <si>
    <t>G9</t>
  </si>
  <si>
    <t>G10</t>
  </si>
  <si>
    <t>D14</t>
  </si>
  <si>
    <t>D16</t>
  </si>
  <si>
    <t>G14</t>
  </si>
  <si>
    <t>J7</t>
  </si>
  <si>
    <t>J8</t>
  </si>
  <si>
    <t>J9</t>
  </si>
  <si>
    <t>J10</t>
  </si>
  <si>
    <t>J11</t>
  </si>
  <si>
    <t>J14</t>
  </si>
  <si>
    <t>J15</t>
  </si>
  <si>
    <t>J17</t>
  </si>
  <si>
    <t>J18</t>
  </si>
  <si>
    <t>Prevalence/ intensity adjustment</t>
  </si>
  <si>
    <t>Leverage (dollar of impact per dollar spent)</t>
  </si>
  <si>
    <t>Cost per person dewormed</t>
  </si>
  <si>
    <t>Your preference:</t>
  </si>
  <si>
    <t>Ratio of benefits per dollar to developmental benefits of ITNs per dollar (upper bound on how much more cost-effective charity could be than bednets)</t>
  </si>
  <si>
    <t>Deworm the World is</t>
  </si>
  <si>
    <t>GiveWell Household size analysis</t>
  </si>
  <si>
    <t>http://www.givewell.org/files/DWDA%202009/GiveDirectly/household%20size%20analysis.xls</t>
  </si>
  <si>
    <t>4. Alternate comparison to bednets:</t>
  </si>
  <si>
    <t>Adjustment to calculations</t>
  </si>
  <si>
    <t>Intuitive maximum adjustment:</t>
  </si>
  <si>
    <t>Cap adjustment at intuitive maximum?:</t>
  </si>
  <si>
    <t>5. Intuition checks/adjustments:</t>
  </si>
  <si>
    <t>Deworming adjustments</t>
  </si>
  <si>
    <t>Comparing deworming benefits to lives saved:</t>
  </si>
  <si>
    <t>Outputs</t>
  </si>
  <si>
    <t>I34</t>
  </si>
  <si>
    <t>S31</t>
  </si>
  <si>
    <t>If and only if you prefer saving a life to increasing ln(income) by 1 unit (i.e., doubling income) for this many people for one year, you prefer bednet distribution to:</t>
  </si>
  <si>
    <t>Inputs</t>
  </si>
  <si>
    <t>We adjust our first option by using an odds ratio, which we believe may be appropriate given that this adjustment is based on prevalence and the appropriate adjustment for intensity may be more extreme.</t>
  </si>
  <si>
    <t>We combine both variations (externality adjustment and odds ratio).</t>
  </si>
  <si>
    <t>(See formulas for each option.) We estimate this magnitude by taking the ratio between the baseline prevalence of any moderate-heavy infection in 1998 (.37 from p. 168) and 1999 (.52 from pg 173), without any adjustment for potential externalities affecting the 1999 prevalence (See Miguel and Kremer 2004).</t>
  </si>
  <si>
    <t>Number of household members that benefit</t>
  </si>
  <si>
    <t>Intuitive judgments of household size and income, since we don't have data on these. 1 conservatively assumes only the recipient of deworming benefits (no other household members).</t>
  </si>
  <si>
    <t>The cost of saving a life through bednets buys you this many person-years of increasing ln(consumption) by 1:</t>
  </si>
  <si>
    <t>Adjusted long term benefits per year of treatment (in terms of ln $), assuming income supports household consumption</t>
  </si>
  <si>
    <t>Present value of the sum of the lifetime benefits per worker (in terms of Ln(income))</t>
  </si>
  <si>
    <t>Adjusted total benefits, per person dewormed (Ln(income))</t>
  </si>
  <si>
    <t>If and only if you prefer saving a life to increasing ln(consumption) by 1 unit for this many people for one year, you prefer bednet distribution to:</t>
  </si>
  <si>
    <t>Your inputs suggest you are indifferent between saving a life and increasing ln(consumption) by 1 unit for this many people:</t>
  </si>
  <si>
    <t>Assumes one additional person (e.g. a child) has the same proportional increase in income.</t>
  </si>
  <si>
    <t>Baird et al. 2015</t>
  </si>
  <si>
    <t>(Of all our variations of comparing SCI to M&amp;K, this is the most favorable to SCI.) It is the average of the ratio of hookworm and schisto prevalence. To see the underlying data, calculations and additional notes, see Intensity of Worms.</t>
  </si>
  <si>
    <t>We average four different comparisons between Deworm the World and M&amp;K: options 2 and 3 (described in following cells) and the same approach as those two options applied to only hookworm and schisto. To see the underlying data, calculations and additional notes, see Intensity of Worms.</t>
  </si>
  <si>
    <t>(Of all our variations of comparing Deworm the World to M&amp;K, this is the least favorable to DtW.) It is the average of the ratio of hookworm and schisto intensity. To see the underlying data, calculations and additional notes, see Intensity of Worms.</t>
  </si>
  <si>
    <t>(Of all our variations of comparing SCI to M&amp;K, this is the least favorable to SCI.) Ratio of the average intensity level (normalized to M&amp;K moderate intensity threshold) for each infection type in SCI's recent program areas compared to M&amp;K. To see the underlying data, calculations and additional notes, see Intensity of Worms.</t>
  </si>
  <si>
    <t>Ratio of the average prevalence level for each infection type in SCI's recent program areas compared to M&amp;K. To see the underlying data, calculations and additional notes, see Intensity of Worms.</t>
  </si>
  <si>
    <t>Ratio of the average intensity level (normalized to M&amp;K moderate intensity threshold) for each infection type in Deworm the World's India programs areas compared to M&amp;K. To see the underlying data, calculations and additional notes, see Intensity of Worms.</t>
  </si>
  <si>
    <t>(Of all our variations of comparing Deworm the World to M&amp;K, this is the most favorable to DtW.) Ratio of the average prevalence level for each infection type in Deworm the World's India program areas compared to M&amp;K. To see the underlying data, calculations and additional notes, see Intensity of Worms.</t>
  </si>
  <si>
    <t>GiveWell analysis of Deworm the World leverage</t>
  </si>
  <si>
    <t>Same, assuming 10% credit</t>
  </si>
  <si>
    <t>Same, assuming 50% credit</t>
  </si>
  <si>
    <t>Adjustment for benefit varying by treatment frequency - SCI</t>
  </si>
  <si>
    <t>Adjustment for benefit varying by treatment frequency - DtW</t>
  </si>
  <si>
    <t>1 DALY is equivalent to increasing ln(income) by one unit for how many years:</t>
  </si>
  <si>
    <t>Ratio of benefits per dollar to developmental benefits of ITNs per dollar (upper bound on how much more cost-effective the deworming/iodine charity could be)</t>
  </si>
  <si>
    <t>DTW</t>
  </si>
  <si>
    <t>4.Comparison to ITNs:</t>
  </si>
  <si>
    <t>DtW is</t>
  </si>
  <si>
    <t>If and only if you prefer saving a life to increasing ln(income) by 1 unit for this many people for one year, you prefer ITN distribution to DTW:</t>
  </si>
  <si>
    <t>If and only if you prefer saving a life to increasing ln(income) by 1 unit for this many people for one year, you prefer ITN distribution to SCI:</t>
  </si>
  <si>
    <t>If and only if you prefer saving a life to increasing ln(income) by 1 unit for this many people for one year, you prefer ITN distribution to Iodine:</t>
  </si>
  <si>
    <t>From Lopez et al. 2006, Table 5.1 pg 402. This number is the average of male and female life expectancy at age 5, using 3% discounting and standard age weights (valuinge years in the middle of the life cycle more highly).</t>
  </si>
  <si>
    <t>Baird et al 2015</t>
  </si>
  <si>
    <t>Malawi</t>
  </si>
  <si>
    <t>DRC</t>
  </si>
  <si>
    <t>Source/notes</t>
  </si>
  <si>
    <t>Cost per ITN distributed (including delivery)</t>
  </si>
  <si>
    <t>Wastage</t>
  </si>
  <si>
    <t>People covered per LLIN</t>
  </si>
  <si>
    <t>Note that the effects noted in Lengeler 2004 do not depend on perfect coverage/usage of ITNs (see GiveWell summary of studies discussed in Lengeler 2004). This calculation uses "Theoretical coverage based on ITNs distributed" rather than "Actual usage" as the key input.</t>
  </si>
  <si>
    <t>Years of protection per person per LLIN</t>
  </si>
  <si>
    <t>Impact of insecticide resistance</t>
  </si>
  <si>
    <t>Percent of population under 5</t>
  </si>
  <si>
    <t>DRC DHS 2013-14, p. 26</t>
  </si>
  <si>
    <t>Percent of population aged 5-14</t>
  </si>
  <si>
    <t>Deaths averted per protected child under 5</t>
  </si>
  <si>
    <t>"The summary rate difference, which expresses how many lives can be saved for every 1000 children protected, was 5.53 deaths averted per 1000 children protected per year (95% CI 3.39 to 7.67; Analysis 1.2). I performed a regression analysis of the natural logarithm of the rate difference on the entomological inoculation rate and could not ?nd a trend (r 2 = 0.52, F = 3.2 on 1,3 degrees of freedom, P = 0.2). In contrast to protective efficacies, the risk differences seemed to have a tendency towards a higher effect with a higher entomological inoculation rate. This apparent paradox is because the baseline mortality rates are higher in areas with high entomological inoculation rates." Lengeler 2004, Pg 8. Author has confirmed that "protection" means "has received an ITN", not "has been confirmed to be using an ITN."</t>
  </si>
  <si>
    <t>Under 5 all mortality rate 2015 (per 1000)</t>
  </si>
  <si>
    <t>http://data.worldbank.org/indicator/SH.DYN.MORT</t>
  </si>
  <si>
    <t>Under 5 all mortality rate 2004 (per 1000)</t>
  </si>
  <si>
    <t>Decrease 2004-2015 attributed to ITNs</t>
  </si>
  <si>
    <t>Deaths averted per protected child under 5 – adjusted for today's lower rates of child mortality and insecticide resistance</t>
  </si>
  <si>
    <t>Pre-existing ITN ownership: all</t>
  </si>
  <si>
    <t>% of impact of ITNs coming from community-wide effects</t>
  </si>
  <si>
    <t>Effective pre-existing coverage of children under 5</t>
  </si>
  <si>
    <t>Calculation: adds the benefit children under-5 get from the current level of overall coverage to the benefit they get from their individual coverage.</t>
  </si>
  <si>
    <t>Effective pre-existing coverage: children aged 5-14</t>
  </si>
  <si>
    <t># of person-years of protection for children under 5, per person-year of protection for the community as a whole</t>
  </si>
  <si>
    <t># of person-years of protection for children aged 5-14, per person-year of protection for the community as a whole</t>
  </si>
  <si>
    <t>Calculation, similar to directly above.</t>
  </si>
  <si>
    <t>Total amount spent</t>
  </si>
  <si>
    <t>Irrelevant to final cost-per-outcome figure; fill in a number that makes results intuitive</t>
  </si>
  <si>
    <t>Total LLINs distributed</t>
  </si>
  <si>
    <t>Total person-years of protection</t>
  </si>
  <si>
    <t>Total person-years of protection for children under 5</t>
  </si>
  <si>
    <t>Total person-years of protection for children aged 5-14</t>
  </si>
  <si>
    <t>Total deaths averted for children under 5</t>
  </si>
  <si>
    <t>Cost per person-year of protection</t>
  </si>
  <si>
    <t>Cost per person-year of protection: under-5's only</t>
  </si>
  <si>
    <t>Cost per person-year of protection: under-14's only</t>
  </si>
  <si>
    <t>Cost per death averted</t>
  </si>
  <si>
    <t>Controls with no nets</t>
  </si>
  <si>
    <t>Controls with untreated nets</t>
  </si>
  <si>
    <t>Source</t>
  </si>
  <si>
    <t>Proportion of effect attributable to insecticide</t>
  </si>
  <si>
    <t>Studies</t>
  </si>
  <si>
    <t>Outcome</t>
  </si>
  <si>
    <t>Protective Efficacy</t>
  </si>
  <si>
    <t>Number of studies</t>
  </si>
  <si>
    <t>Endemicity</t>
  </si>
  <si>
    <t>Type</t>
  </si>
  <si>
    <t>Data from Lengeler 2004</t>
  </si>
  <si>
    <t>Mortality</t>
  </si>
  <si>
    <t>10-500</t>
  </si>
  <si>
    <t>1-10</t>
  </si>
  <si>
    <t>Comparison 1, pg 42</t>
  </si>
  <si>
    <t>Uncomplicated clinical episodes</t>
  </si>
  <si>
    <t>&gt;1</t>
  </si>
  <si>
    <t>p. falciparum</t>
  </si>
  <si>
    <t>Appendix 7, pg 49</t>
  </si>
  <si>
    <t>&lt;1</t>
  </si>
  <si>
    <t>p. vivax</t>
  </si>
  <si>
    <t>Parasite prevalence</t>
  </si>
  <si>
    <t>Appendix 10, pgs 50-1</t>
  </si>
  <si>
    <t>Outlier</t>
  </si>
  <si>
    <t>High parasitaemia</t>
  </si>
  <si>
    <t>Appendix 11, 12, pg 51</t>
  </si>
  <si>
    <t>Proportion of effect attributable to physical barrier</t>
  </si>
  <si>
    <t>Weighted mean average</t>
  </si>
  <si>
    <t>Notes from a conversation with Abraham Mnzava state: "A study by Mark Rowland in western Africa found 30-40% of the protective effect of nets to be due to factors other than the mosquitoes being killed. These effects have been documented in numerous studies."</t>
  </si>
  <si>
    <t>Insecticide resistance</t>
  </si>
  <si>
    <t>Average of Malawi and DRC</t>
  </si>
  <si>
    <t>Cost per person-year of protection, adjusted for insecticide resistance: under-14's only</t>
  </si>
  <si>
    <t>Malawi DHS 2010, Pg 155. Modeling usage as 70% of ownership; thus, usage is divided by 70% to get ownership.</t>
  </si>
  <si>
    <t>DRC DHS 2013-14, p 194</t>
  </si>
  <si>
    <t>Weighted average calculations for future AMF countries</t>
  </si>
  <si>
    <t>Malaria case rate data</t>
  </si>
  <si>
    <t>See Bednets sheet</t>
  </si>
  <si>
    <t>-</t>
  </si>
  <si>
    <t>Aggregate adjustment to Baird development effect</t>
  </si>
  <si>
    <t>3. The benefits of cash transfers are calculated:</t>
  </si>
  <si>
    <r>
      <rPr>
        <b/>
        <sz val="8"/>
        <color theme="1"/>
        <rFont val="Calibri"/>
        <family val="2"/>
        <scheme val="minor"/>
      </rPr>
      <t>Input:</t>
    </r>
    <r>
      <rPr>
        <sz val="8"/>
        <color theme="1"/>
        <rFont val="Calibri"/>
        <family val="2"/>
        <scheme val="minor"/>
      </rPr>
      <t xml:space="preserve"> 1 DALY is equivalent to increasing ln(income) by one unit for how many years:</t>
    </r>
  </si>
  <si>
    <r>
      <rPr>
        <b/>
        <sz val="8"/>
        <color theme="1"/>
        <rFont val="Calibri"/>
        <family val="2"/>
        <scheme val="minor"/>
      </rPr>
      <t>Derived:</t>
    </r>
    <r>
      <rPr>
        <sz val="8"/>
        <color theme="1"/>
        <rFont val="Calibri"/>
        <family val="2"/>
        <scheme val="minor"/>
      </rPr>
      <t xml:space="preserve"> Saving a life is worth increasing consumption ~25% for X people (for ~length of career)</t>
    </r>
  </si>
  <si>
    <t>Intuitive estimates. For reference, consider that 3 is similar to considering a permanent 25% increase in income (the developmental gains from deworming) for ~40 people starting in adulthood to be roughly as valuable as saving a life of a young person (reasonably similar to the inverse of the 2.4% figure that was used in DCP2 spreadsheet).</t>
  </si>
  <si>
    <t>Deworm the World is X as cost effective as…</t>
  </si>
  <si>
    <t>SCI is X as cost effective as…</t>
  </si>
  <si>
    <t>Bednets are X as cost effective as…</t>
  </si>
  <si>
    <t>4. Comparisons</t>
  </si>
  <si>
    <t>Cash is X as cost effective as…</t>
  </si>
  <si>
    <t>"Bednets" sheet</t>
  </si>
  <si>
    <t>AB6</t>
  </si>
  <si>
    <t>AB7</t>
  </si>
  <si>
    <t>Adjustment for benefit varying by treatment frequency</t>
  </si>
  <si>
    <t>G11</t>
  </si>
  <si>
    <t>W17</t>
  </si>
  <si>
    <t>W18</t>
  </si>
  <si>
    <t>(note: some additional columns hidden)</t>
  </si>
  <si>
    <t>Under 5 all mortality rate 1995 in the countries where RCT studies were done -  Burkina Faso, Gambia, Ghana, and Kenya (per 1000)</t>
  </si>
  <si>
    <t>From http://data.worldbank.org/indicator/SH.DYN.MORT?page=4</t>
  </si>
  <si>
    <t>Ratio of mortality rate in 2015 compared to 1995</t>
  </si>
  <si>
    <t>Ratio of mortality rate in 2004 compared to 1995</t>
  </si>
  <si>
    <t>Adjustment for ratio of current child mortality to historical child mortality when RCTs were conducted. Also see penultimate section of http://blog.givewell.org/2012/10/18/revisiting-the-case-for-insecticide-treated-nets-itns/.</t>
  </si>
  <si>
    <t>Relative value of year of M&amp;K deworming treatment to development benefits from year of bednet coverage</t>
  </si>
  <si>
    <t>Relative value of year of deworming treatment to development benefits from year of bednet coverage</t>
  </si>
  <si>
    <t>GiveDirectly's estimate of the lifespan of a roof.</t>
  </si>
  <si>
    <t>Prevalence/intensity ratio between M&amp;K and short term health benefit observations</t>
  </si>
  <si>
    <t>Andrew</t>
  </si>
  <si>
    <t>Natalie</t>
  </si>
  <si>
    <t>Tim</t>
  </si>
  <si>
    <t>Elie</t>
  </si>
  <si>
    <t>AB8</t>
  </si>
  <si>
    <t>AB9</t>
  </si>
  <si>
    <t>AB10</t>
  </si>
  <si>
    <t>Emma</t>
  </si>
  <si>
    <t>Leon</t>
  </si>
  <si>
    <t>Rebecca</t>
  </si>
  <si>
    <t>M18</t>
  </si>
  <si>
    <t>GW medians</t>
  </si>
  <si>
    <t>Median of GW staff</t>
  </si>
  <si>
    <t>http://www.givewell.org/files/DWDA 2009/Interventions/Deworming/Cost-effectiveness_for_deworming.xls</t>
  </si>
  <si>
    <t>Cap adjustment at intuitive maximum?</t>
  </si>
  <si>
    <t>Summary sheet shows GiveWell staff estimates of the cost-effectiveness of various programs, as well as the differences in staff estimates of the inputs.</t>
  </si>
  <si>
    <t>Bednets sheet shows primary calculations for bednet cost-effectiveness.</t>
  </si>
  <si>
    <t>Parameters and Sources sheets have context and further information about the inputs used in the cash, deworming and iodine models.</t>
  </si>
  <si>
    <t>Staff Name</t>
  </si>
  <si>
    <t xml:space="preserve">We adjust the 1999 baseline prevalence (used in our first option) up by .14 based on an estimate of the externality that treatment had on the control group (though it partially relies on a not statistically significant result; an externality adjustment using only the statistically significant result would be .08) (See Miguel and Kremer Deworming DALY calculation, "Effect on Pupils in Untreated Schools"). </t>
  </si>
  <si>
    <t>Arbitrary in between guess, e.g. perhaps accounting for it child leaving household or contributing to household income.</t>
  </si>
  <si>
    <t>Possibilities (first is not necessarily "best guess")</t>
  </si>
  <si>
    <t>Source/notes (see sheet "Sources" sheet for links)</t>
  </si>
  <si>
    <t>http://www.givewell.org/files/DWDA%202009/Interventions/Cash%20Transfers/Blattman%20et%20al%202013.pdf</t>
  </si>
  <si>
    <t>Link</t>
  </si>
  <si>
    <t>AMF review</t>
  </si>
  <si>
    <t>GiveDirectly review</t>
  </si>
  <si>
    <t>SCI review</t>
  </si>
  <si>
    <t>Deworm the World review</t>
  </si>
  <si>
    <t>http://www.givewell.org/international/top-charities/AMF</t>
  </si>
  <si>
    <t>http://www.givewell.org/international/top-charities/schistosomiasis-control-initiative</t>
  </si>
  <si>
    <t>http://www.givewell.org/international/top-charities/deworm-world-initiative</t>
  </si>
  <si>
    <t>Pre-existing ITN ownership: children under 5 (from DHS)</t>
  </si>
  <si>
    <t>Pre-existing ITN ownership: children aged 5-14 (from DHS)</t>
  </si>
  <si>
    <t>Pre-existing ITN ownership: all (from AMF)</t>
  </si>
  <si>
    <t>Pre-existing ITN ownership: children under 5 (GiveWell estimate)</t>
  </si>
  <si>
    <t>Pre-existing ITN ownership: children aged 5-14 (GiveWell estimate)</t>
  </si>
  <si>
    <t>http://dhsprogram.com/pubs/pdf/MIS18/MIS18.pdf</t>
  </si>
  <si>
    <t>DRC DHS 2013-14</t>
  </si>
  <si>
    <t>Malawi DHS Malaria Indicator Survey 2014, Pg. 15</t>
  </si>
  <si>
    <t>Malawi DHS Malaria Indicator Survey 2014</t>
  </si>
  <si>
    <t>http://dhsprogram.com/pubs/pdf/FR300/FR300.pdf</t>
  </si>
  <si>
    <t>Lengeler 2004</t>
  </si>
  <si>
    <t>http://www.cochrane.org/reviews/en/ab000363.html</t>
  </si>
  <si>
    <t>Additional source/notes</t>
  </si>
  <si>
    <t>GiveWell summary of studies discussed in Lengeler 2004</t>
  </si>
  <si>
    <t>Malawi DHS 2010</t>
  </si>
  <si>
    <t>http://dhsprogram.com/pubs/pdf/FR247/FR247.pdf</t>
  </si>
  <si>
    <t>Calculation. Assumes that everyone in the population is brought to 100% effective coverage, so the % of the benefits that goes to under-5's depends on the pre-existing levels of effective coverage. For a population of 1 for 1 year, (1 - pre-existing ownership) additional person-years of coverage are provided to reach 100% coverage, and (100% - under-5 effective pre-existing ownership)*(under-5 percent of population) additional years of protection are given to children under 5.</t>
  </si>
  <si>
    <t>Funding for malaria prevention began to rapidly increase after 2004 (see http://files.givewell.org/files/DWDA%202009/Interventions/Nets/2012%20vet/Malaria%20case%20rate%20and%20death%20rate%20information%20edited.xls from http://blog.givewell.org/2012/10/18/revisiting-the-case-for-insecticide-treated-nets-itns/) thus it is possible that some or much of the mortality decline after 2004 was due to bednets. We have arbitrarily chosen to attribute 25% of the decrease after 2004 to bednets.</t>
  </si>
  <si>
    <t>http://www.givewell.org/files/DWDA%202009/Interventions/Nets/Summary%20of%20ITN%20RCTs.xls</t>
  </si>
  <si>
    <t>(Older version of file)</t>
  </si>
  <si>
    <t>AMF distribution data</t>
  </si>
  <si>
    <t>https://www.againstmalaria.com/Distributions.aspx</t>
  </si>
  <si>
    <t>Click on a specific distribution to see the documentation for it</t>
  </si>
  <si>
    <t>See http://www.givewell.org/international/technical/programs/insecticide-treated-nets#CommunityEffects. The model here is that if X% of the effect comes from individual-level effects, then the "effective coverage" for children under-5 is X%*(coverage for children under 5)+(1-X)%*(community-level coverage)</t>
  </si>
  <si>
    <t>Other sheets show calculations for cash, deworming, and iodine, as well as comparisons with bednets. The named sheets are estimates of individual GiveWell staff, and GW medians sheet uses the median the staff inputs.</t>
  </si>
  <si>
    <t>Miguel and Kremer Deworming DALY calculation (Miguel &amp; Kremer Deworming DALY Calculation Updated 2011.10.28)</t>
  </si>
  <si>
    <t>Uses the decay model discussed in the write-up (see http://www.givewell.org/international/technical/programs/insecticide-treated-nets#Decay)</t>
  </si>
  <si>
    <t>Future distributions (weighted average)</t>
  </si>
  <si>
    <t>Schistosomiasis Control Initiative:</t>
  </si>
  <si>
    <t>Other GiveWell references</t>
  </si>
  <si>
    <t>Top Charities</t>
  </si>
  <si>
    <t>Discussion of cost-effectiveness as a criteria</t>
  </si>
  <si>
    <t>Blog posts discussing cost-effectiveness</t>
  </si>
  <si>
    <t>Percentage of the de facto household population who could sleep under a usable ITN if each ITN in the household were used by an average of 1.8 people, based on AMF's summary pre-distribution survey results for Balaka, Dedza, and Dowa districts in Malawi. The pre-distribution survey summaries can be found on AMF's website https://www.againstmalaria.com/ (see the all distributions page: https://www.againstmalaria.com/Distributions.aspx, and click on a specific distribution to see the documentation for it).</t>
  </si>
  <si>
    <t xml:space="preserve">Percentage of the de facto household population who could sleep under an ITN if each ITN in the household were used by an average of 1.8 people. Based on detailed distribution data from the Kasai Occidental distribution. We have not published this data because it is not anonymized. </t>
  </si>
  <si>
    <t>http://www.givewell.org/node/2218</t>
  </si>
  <si>
    <t xml:space="preserve">Horton, Mannar and Wesley 2008 </t>
  </si>
  <si>
    <t>http://files.givewell.org/files/DWDA%202009/Interventions/Iodine/Horton,%20Mannar%20and%20Wesley%202008.pdf</t>
  </si>
  <si>
    <t xml:space="preserve"> </t>
  </si>
  <si>
    <t>% of investment returned after end of benefits</t>
  </si>
  <si>
    <t>Assumes no return of money invested.</t>
  </si>
  <si>
    <t>Assumes that all cash invested will be returned at the end of the period of ROI benefits.</t>
  </si>
  <si>
    <t>Assumes half of the money invested will be returned at the end of the period of ROI benefits.</t>
  </si>
  <si>
    <t>Guess based on relative value of an iron roof investment after twenty years.</t>
  </si>
  <si>
    <t xml:space="preserve">No leverage. Assumes ICCIDD/GAIN don't get governments to spend additional money on iodine programs than they would have otherwise. </t>
  </si>
  <si>
    <t>http://files.givewell.org/files/DWDA%202009/Interventions/Cash%20Transfers/Haushofer%20and%20Shapiro%202013.pdf</t>
  </si>
  <si>
    <t>http://files.givewell.org/files/DWDA%202009/Interventions/Cash%20Transfers/Haushofer_Shapiro_UCT_Online_Appendix_2013.11.15.pdf</t>
  </si>
  <si>
    <t>http://files.givewell.org/files/DWDA%202009/Interventions/Cash%20Transfers/haushofer_shapiro_uct_2013.11.16.pdf</t>
  </si>
  <si>
    <t>Haushofer and Shapiro 2013</t>
  </si>
  <si>
    <t>Haushofer and Shapiro 2013 Appendix</t>
  </si>
  <si>
    <t>Haushofer and Shapiro 2013 Policy Brief</t>
  </si>
  <si>
    <t>Alternative funders adjustment</t>
  </si>
  <si>
    <t>DALYs per death of a young child averted</t>
  </si>
  <si>
    <t>The cost of averting a death of a young child  through bednets buys you this many person-years of increasing ln(consumption) by 1:</t>
  </si>
  <si>
    <t>If and only if you prefer averting a death of a young child to increasing ln(consumption) by 1 unit for this many people for one year, you prefer bednet distribution to:</t>
  </si>
  <si>
    <t>Your inputs suggest you are indifferent between averting a  death of a young child and increasing ln(consumption) by 1 unit for this many people:</t>
  </si>
  <si>
    <t>Males</t>
  </si>
  <si>
    <t>Females</t>
  </si>
  <si>
    <t>Age of death</t>
  </si>
  <si>
    <t>Life expectancy (years)</t>
  </si>
  <si>
    <t>Input name</t>
  </si>
  <si>
    <t>Value</t>
  </si>
  <si>
    <t>Explanation</t>
  </si>
  <si>
    <t>This is the discount rate per year.</t>
  </si>
  <si>
    <t>Age-weight parameter beta</t>
  </si>
  <si>
    <t>Age-weight constant C</t>
  </si>
  <si>
    <t>Maximum age weight</t>
  </si>
  <si>
    <t>Age of maximum age weight</t>
  </si>
  <si>
    <t>Age range for which age weight is &gt;1</t>
  </si>
  <si>
    <t>Table below from Lopez et al. 2006, p 403</t>
  </si>
  <si>
    <t>27.2–83.1</t>
  </si>
  <si>
    <t>14.9–63.0</t>
  </si>
  <si>
    <t>8.4–54.2</t>
  </si>
  <si>
    <t>5.2–50.7</t>
  </si>
  <si>
    <t>3.5–46.9</t>
  </si>
  <si>
    <t>all equal</t>
  </si>
  <si>
    <t>none. All years = 1</t>
  </si>
  <si>
    <t>Age-weight modulation constant K</t>
  </si>
  <si>
    <t>This is equal to 1 if some non-uniform age-weighting system is in use, and equal to 0 if not. This is for the purpose of the equation calculating YLL.</t>
  </si>
  <si>
    <t>YLL incorporating discount and age-weighting</t>
  </si>
  <si>
    <t>From Lopez et al. 2006, Table 5.1 pg 402. This number is the average of male and female life expectancy at age 5, using 3% discounting and standard age weights (valuing years in the middle of the life cycle more highly). To experiment with different % discounts, and different age-weights, see 'YLL per death' sheet.</t>
  </si>
  <si>
    <t>This number is the average of male and female life expectancy at age 5, using 5% discounting and standard age weights (valuing years in the middle of the life cycle more highly). To experiment with different % discounts, and different age-weights, see 'YLL per death' sheet.</t>
  </si>
  <si>
    <t>Conservative estimate, related to the fact that in cases where family size is a conscious choice, parents may choose to have more children following the death of a child. For more information on the relation between child mortality rates and fertility, see http://blog.givewell.org/2014/04/17/david-roodmans-draft-writeup-on-the-mortality-fertility-connection/.</t>
  </si>
  <si>
    <t>This number is the average of male and female life expectancy at age 5, using no discounting and uniform age weights (valuing all years the same). To experiment with different % discounts and different age-weights, see 'YLL per death' sheet.</t>
  </si>
  <si>
    <t>YLL per death sheet</t>
  </si>
  <si>
    <t>Average number of years between deworming and the beginning of long term gains benefit</t>
  </si>
  <si>
    <t>Conservative guess, adjusted downward from the roof ROI calculation (see below on this sheet) due to not knowing survey methodology and inconsistent results, and the possibility that iron roofs may be a particularly good investment.  See: http://www.givewell.org/node/2360#AvariantofGiveDirectly</t>
  </si>
  <si>
    <t>Cost per person-year of protection for under 14's, adjusted for insecticide resistance</t>
  </si>
  <si>
    <t>Best guess, based on impression that for future distributions Deworm the World will not have significant leverage opportunities.</t>
  </si>
  <si>
    <t>Wastage takes into account any inefficiencies in AMF's distribution system that result in a net being bought by AMF, but not distributed to a sleeping space that is in need of a new net.  Potential inefficiencies include nets that are purchased by AMF but not distributed, inefficiencies in the distribution system such as households reporting incorrect information, and the fact that nets that are in 'viable' condition but not 'good' condition are replaced with new nets. Note that "Years of protection" assumes a rate of decay of all distributed LLINs of 8% between 0-12 months, meant to account for all factors which might cause distributed nets not to be used. This input is subjective.</t>
  </si>
  <si>
    <t>GiveWell's best guess based on our understanding of how additional donations are likely to be used. It is calculated from the percent of transfers out of total incurred costs through Feb 2016.</t>
  </si>
  <si>
    <t xml:space="preserve">Arbitrary lower estimate based on the fact that GiveDirectly expects to spend 6-9 million on fundraising over the next several years, which is significantly more than it has spent on fundraising in the past, and may decrease the proportion of its spending that goes to cash transfer costs (although this will depend on how much GiveDirectly raises for transfers). </t>
  </si>
  <si>
    <t>Average number of years between deworming and the beginning of long term benefits - also used for iodine</t>
  </si>
  <si>
    <t xml:space="preserve">This parameter defines the age-weighting. 0.04 is parameter for 'standard' age weights, which imply that the middle of life is more valuable than early childhood or older age. 0.00 gives uniform age weights, implying that all years are equally valuable.  For more information on possible age weights, see the table below, and pages 401-403 in Lopez et al. 2006. </t>
  </si>
  <si>
    <t>Average based on countries where AMF is likely to work in the future (Internal estimates)</t>
  </si>
  <si>
    <t>Reduction in effectiveness due to IR. See http://www.givewell.org/node/2672#Discountforinsecticideresistancebasedonpresentevidence.</t>
  </si>
  <si>
    <t>http://www.givewell.org/international/top-charities/amf#Whatdoyougetforyourdollar</t>
  </si>
  <si>
    <t>GiveWell estimate of cost per treatment for Deworm the World's India programs, excluding staff time. See http://www.givewell.org/international/top-charities/deworm-world-initiative#Whatisthecostpertreatment</t>
  </si>
  <si>
    <t>Same basic approach as Option 1 (averaging across four different comparisons), but first calculating the ratio of each infection type, and then taking the average. This approach may be preferred in certain cases, for example, if one believed all of the effect was due to a single infection type but was uncertain which (so applied equal weights to get an expected value). To see the underlying data, calculations and additional notes, see Intensity of Worms.</t>
  </si>
  <si>
    <t>Baseline prevalence compared to Miguel &amp; Kremer study</t>
  </si>
  <si>
    <t>Summary Table</t>
  </si>
  <si>
    <t>Ratio of average rate of all infections</t>
  </si>
  <si>
    <t>Average of ratio of infection rates</t>
  </si>
  <si>
    <t>Any prev</t>
  </si>
  <si>
    <t>H/S prev</t>
  </si>
  <si>
    <t>Any intens</t>
  </si>
  <si>
    <t>H/S intens</t>
  </si>
  <si>
    <t>Super average:</t>
  </si>
  <si>
    <t>SCI programs</t>
  </si>
  <si>
    <t>Deworm the World programs</t>
  </si>
  <si>
    <t>Total prevalence (at any level of infection)</t>
  </si>
  <si>
    <t>Intensity (eggs per gram)</t>
  </si>
  <si>
    <t>Miguel &amp; Kremer study</t>
  </si>
  <si>
    <t>roundworm</t>
  </si>
  <si>
    <t>whipworm</t>
  </si>
  <si>
    <t>hookworm</t>
  </si>
  <si>
    <t>schisto</t>
  </si>
  <si>
    <t>any infection</t>
  </si>
  <si>
    <t>1998, Group 1 Schools</t>
  </si>
  <si>
    <t>1998, Group 1 Schools, &lt;5 km from Lake Victoria</t>
  </si>
  <si>
    <t>Average intensity, normalized to M&amp;K moderate infection threshold</t>
  </si>
  <si>
    <t>M&amp;K overall average infection rate</t>
  </si>
  <si>
    <t>Source: Miguel and Kremer 2004, Pg 168, Table 2. http://eml.berkeley.edu/~emiguel/pdfs/miguel_worms.pdf</t>
  </si>
  <si>
    <t>Note: All cases of schistosomiasis are S. mansoni.</t>
  </si>
  <si>
    <t>Treatment plans</t>
  </si>
  <si>
    <t>asc</t>
  </si>
  <si>
    <t>trich</t>
  </si>
  <si>
    <t>schisto mansoni</t>
  </si>
  <si>
    <t>2015/16</t>
  </si>
  <si>
    <t>2016/17</t>
  </si>
  <si>
    <t>2017/18</t>
  </si>
  <si>
    <t>2018/19</t>
  </si>
  <si>
    <t>Total (April 2015 - Dec 2019)</t>
  </si>
  <si>
    <t>% of Total</t>
  </si>
  <si>
    <t>% of unrestricted funds 2016/17 - 2018/19</t>
  </si>
  <si>
    <t>Liberia</t>
  </si>
  <si>
    <t xml:space="preserve">Malawi </t>
  </si>
  <si>
    <t>Mozambique</t>
  </si>
  <si>
    <t>NA</t>
  </si>
  <si>
    <t xml:space="preserve">Mozambique </t>
  </si>
  <si>
    <t>Tanzania</t>
  </si>
  <si>
    <t>Cote d'Ivoire</t>
  </si>
  <si>
    <t>Cote D'Ivoire</t>
  </si>
  <si>
    <t>Zambia</t>
  </si>
  <si>
    <t>Uganda</t>
  </si>
  <si>
    <t>Ethiopia (extrapolated from mapping data – several assumptions made; see 'Mapping results' sheet)</t>
  </si>
  <si>
    <t xml:space="preserve">Ethiopia </t>
  </si>
  <si>
    <t>Sources: last 3 programs from unpublished studies; first 4 programs from SCI report to DFID (October 2013), Annex 1 (Pg 26). http://files.givewell.org/files/DWDA%202009/SCI/ICOSA%203rd%20Annual%20Report%202013_final.pdf</t>
  </si>
  <si>
    <t xml:space="preserve">Yemen </t>
  </si>
  <si>
    <t xml:space="preserve">Niger </t>
  </si>
  <si>
    <t>Zanzibar</t>
  </si>
  <si>
    <t xml:space="preserve">DRC </t>
  </si>
  <si>
    <t>Madagascar</t>
  </si>
  <si>
    <t>Burundi</t>
  </si>
  <si>
    <t xml:space="preserve">Mauritania </t>
  </si>
  <si>
    <t>Rwanda</t>
  </si>
  <si>
    <t xml:space="preserve">Sudan </t>
  </si>
  <si>
    <t xml:space="preserve">Nigeria </t>
  </si>
  <si>
    <t>Total</t>
  </si>
  <si>
    <t>Source: SCI planned SCH treatment numbers by country by year (October 2015)</t>
  </si>
  <si>
    <t>Average infection (weighted by treatments)</t>
  </si>
  <si>
    <t>Ratio by infection compared to M&amp;K</t>
  </si>
  <si>
    <t>Average rate of all infections</t>
  </si>
  <si>
    <t>Ratio of average rate of all infections to M&amp;K</t>
  </si>
  <si>
    <t>Note: Treatments may be delivered less often than 1/year in areas with lower prevalence (potentially making each treatment more effective)</t>
  </si>
  <si>
    <t xml:space="preserve">                   
                   </t>
  </si>
  <si>
    <t>Treatments</t>
  </si>
  <si>
    <t>Program</t>
  </si>
  <si>
    <t>2011-2015</t>
  </si>
  <si>
    <t>Proportion</t>
  </si>
  <si>
    <t xml:space="preserve">Bihar </t>
  </si>
  <si>
    <t>Bihar</t>
  </si>
  <si>
    <t xml:space="preserve">Rajasthan </t>
  </si>
  <si>
    <t>Rajasthan</t>
  </si>
  <si>
    <t xml:space="preserve">Delhi </t>
  </si>
  <si>
    <t>Delhi</t>
  </si>
  <si>
    <t>Madhya Pradesh</t>
  </si>
  <si>
    <t>Kenya</t>
  </si>
  <si>
    <t>Source: All India prevalence files linked from GiveWell's review of Deworm the World (http://www.givewell.org/international/top-charities/deworm-world-initiative). Bihar from DtWl Bihar 2011 prevalence survey report, Rajasthan from DtWI Rajasthan 2013 prevalence survey report, Delhi from Delhi 2012 prevalence survey report, and Madhya Pradesh from DtWI Madhya Pradesh 2015 program report, Pg 37. Kenya from Mwandawiro et al, 2013: 'Monitoring and evaluating the impact of national school-based deworming in Kenya: study design and baseline results' (available online).</t>
  </si>
  <si>
    <t>Totals</t>
  </si>
  <si>
    <t xml:space="preserve">Source: Information for programs in India from http://www.givewell.org/node/2575#Coverage, information for Kenya program from unpublished district reports (Y1 District Report, Y2 District Report, and Y3 District report). Kenyan treatment numbers are collected by government, and we have not yet tried to check what Deworm the World monitors when they attempt to validate coverage; we find it plausible that schools inflate their reports to some extent. We have done some analysis on verifying the coverage rate of Deworm the World's India programs (see footnote 39 in http://www.givewell.org/international/top-charities/deworm-world-initiative) and have found that it is likely that the number of treatments is over-reported. </t>
  </si>
  <si>
    <t>See 'Intensity of worms' sheet, and http://www.givewell.org/international/top-charities/schistosomiasis-control-initiative#baseline; see http://www.givewell.org/international/technical/programs/deworming/reanalysis#Externalvalidity for Miguel and Kremer data (but note that's rate of moderate-to-heavy infections, not any infection; underlying data on any infection and epg is unpublished)</t>
  </si>
  <si>
    <t>See 'Intensity of worms' sheet, and http://www.givewell.org/international/top-charities/deworm-world-initiative#comparison</t>
  </si>
  <si>
    <t>http://files.givewell.org/files/DWDA%202009/Interventions/Deworming/Worms-at-Work_2015-11-11-Final.pdf</t>
  </si>
  <si>
    <t>Do not include external validity adjustment</t>
  </si>
  <si>
    <t>Best guess based on balancing self reported data on spending from Give Directly follow-up surveys (http://www.givewell.org/node/2361#Datafromfollowupsurveys) in which investments in buildings, land, livestock, and businesses typically account for ~70% of spending with the RCT results which have investments as $463.33 (USD PPP) (within villages, or $544 across villages) on a transfer of $1,520 USDPPP (i.e. about 1/3 of the total: p 54, http://files.givewell.org/files/DWDA%202009/Interventions/Cash%20Transfers/Haushofer_Shapiro_UCT_Online_Appendix_2013.11.15.pdf; see p 1, http://files.givewell.org/files/DWDA%202009/Interventions/Cash%20Transfers/haushofer_shapiro_uct_2013.11.16.pdf for total transfer size)</t>
  </si>
  <si>
    <r>
      <rPr>
        <sz val="11"/>
        <color theme="1"/>
        <rFont val="Calibri"/>
        <family val="2"/>
        <scheme val="minor"/>
      </rPr>
      <t xml:space="preserve">http://www.givewell.org/node/2428, </t>
    </r>
    <r>
      <rPr>
        <sz val="11"/>
        <color theme="1"/>
        <rFont val="Calibri"/>
        <family val="2"/>
        <scheme val="minor"/>
      </rPr>
      <t>AMF alternative funders adjustment spreadsheet (unpublished)</t>
    </r>
  </si>
  <si>
    <t>AMF alternative funders adjustment spreadsheet</t>
  </si>
  <si>
    <r>
      <rPr>
        <b/>
        <sz val="11"/>
        <color theme="1"/>
        <rFont val="Calibri"/>
        <family val="2"/>
        <scheme val="minor"/>
      </rPr>
      <t>Explanatory note</t>
    </r>
    <r>
      <rPr>
        <sz val="11"/>
        <color theme="1"/>
        <rFont val="Calibri"/>
        <family val="2"/>
        <scheme val="minor"/>
      </rPr>
      <t xml:space="preserve">: This sheet calculates the number of years of life lost due to a death at different ages. Three factors are usually taken into account: the age of the person when s/he died (and the implied expected number of years longer that s/he would have lived), the discount rate, and the age-weighting.  Uniform age weights imply that all years of life are equally valuable and the 'standard' age-weighting implies that years in the middle of life are more valuable than early childhood and years later in life. For more on age-weighting, see pages 401-403 in Lopez et al. 2006.  </t>
    </r>
  </si>
  <si>
    <t xml:space="preserve">Below are constants for use in calculations - do not change these. </t>
  </si>
  <si>
    <t xml:space="preserve">This is a constant that helps to scale the age weights. It was originally chosen to ensure that total global DALYs remain the same with or without age-weighting. </t>
  </si>
  <si>
    <t>Assumes that SCI deworms each child for 10 years, but that only 2.41 (# years in study) are needed to realize benefits (2.41 years from Baird et al 2015, Pg 7) and future years will not result in additional benefits.</t>
  </si>
  <si>
    <t>Arbitrary middle assumption - assumes that the average year of deworming is 80% as beneficial as each year in the study</t>
  </si>
  <si>
    <r>
      <t>Suggested values: 81%, 77%, or 71%, based on whether you think the second treatment round per year in a high-prevalence area is responsible for 1/4, 1/3, or 1/2 of the total effect of twice annual treatments in that area. The suggested values are based partly on assumptions about DTW's work in future areas, and partly on DTW's past work in India. 
- This factor can be used to adjust the expected impact of DtW based on differences in treatment frequency between the  programs and those studied in Croke and Miguel &amp; Kremer
- In suggesting these parameters, we assume that reinfection rates are about twice as high in areas with high baseline prevalence (where WHO recommends twice annual MDAs) as areas with lower baseline prevalence (where WHO recommends annual MDAs).
- Further, in high prevalence areas, we imagine that doing twice annual treatments may not be exactly twice as beneficial as annual treatments. Let's say that X portion of benefit from twice annual deworming programs comes from the first treatment, and (1-X) portion comes from the second treatment each year.
With the above assumptions, then after adjusting for prevalence and intensity (row above) and other discounts:
- If an organization treats a high prevalence area twice per year, we should expect similar benefits to the deworming RCTs per-year (at the cost of 2 treatment rounds</t>
    </r>
    <r>
      <rPr>
        <sz val="11"/>
        <color indexed="206"/>
        <rFont val="Calibri"/>
        <family val="2"/>
      </rPr>
      <t>)
- If an organization treats a lower prevalence area once per year, we should expect similar benefits to the deworming RCTs per-year (at the cost of 1 treatment round)
- If an organization treats a high prevalence area once per year, we should expect X portion of the benefits in the deworming RCTS per-year (at the cost of 1 treatment round)
- If an organization adds a second treatment to a pre-existing annual treatment in a high prevalence area (such as when MDAs for Lymphatic Filariasis (LF) are already providing albendazole once per year to the same population), then we should expect (1-X) of the benefits in the deworming RCTs per-year (at the cost of 1 treatment round) Note that this assumes that the two treatments are spaced 6 months apart; in the opposite extreme, if one occurs right after the other, then the effect might be similar to one treatment per year, since little effect would be expected from the second round.
Sub-parameters
We are not aware of any direct evidence on what the value of X is. In the below examples, we use an imagined value of 3/4, 2/3, and 1/2. Note that the value could be less than 1/2.
We guess there might be pre-existing LF MDAs in 10% of the areas that DTW starts programs in the future, such that they would be adding the second treatment. With X as 2/3, this implies that DTW's impact will be 7% less than otherwise expected.
About half of all DTW treatments since 2011 have been in Bihar, which has high prevalence, but in which treatments have only been happening annually, mostly due to the lack of expected annual LF treatments. (see GiveWell analysis of Deworm the World leverage). With X as 2/3, this implies that DTW's impact will be 17% less than otherwise expected.
Multiplying the two discounts together, we suggest values of 77% if X is 2/3, or 71% if it's 1/2, or 81% if it's 3/4.</t>
    </r>
  </si>
  <si>
    <t>Adjustment for El Niño</t>
  </si>
  <si>
    <t>According to WHO, in countries SCI works, 26% of treatments in 2014 went to adults (which we've rounded to 25% for simplicity). See WHO schistosomiasis treatment gap data.</t>
  </si>
  <si>
    <t xml:space="preserve">Weighted average of five case studies; see http://www.givewell.org/node/2428. This input assumes that around 90% of the funds taking the place of AMF would have been spent on malaria interventions, and 50% of the funds that would have been spent on malaria interventions would have been spent on bednets. </t>
  </si>
  <si>
    <t>This is a more conservative adjustment, based on assuming that in the future there will be shorter delays between when AMF does not fund a distribution and when a different funder steps in. However it keeps the assumption that only 50% of alternative funds would have been spent on bednets.</t>
  </si>
  <si>
    <t>This adjustment assumes that in the future there will be shorter delays between when AMF does not fund a distribution and when a different funder steps in. However it also assumes that in the future a larger proportion of the funds replacing AMF would have been spent on bednets in any case.</t>
  </si>
  <si>
    <t>This input assumes that all funds taking the place of AMF would have been spent on bednet interventions in any case.</t>
  </si>
  <si>
    <r>
      <rPr>
        <b/>
        <sz val="8"/>
        <color theme="1"/>
        <rFont val="Calibri"/>
        <family val="2"/>
        <scheme val="minor"/>
      </rPr>
      <t>Derived:</t>
    </r>
    <r>
      <rPr>
        <sz val="8"/>
        <color theme="1"/>
        <rFont val="Calibri"/>
        <family val="2"/>
        <scheme val="minor"/>
      </rPr>
      <t xml:space="preserve"> Averting a death of a young child is worth increasing future consumption ~25% for X people (for ~length of career)</t>
    </r>
  </si>
  <si>
    <r>
      <rPr>
        <b/>
        <sz val="8"/>
        <color theme="1"/>
        <rFont val="Calibri"/>
        <family val="2"/>
        <scheme val="minor"/>
      </rPr>
      <t>Input:</t>
    </r>
    <r>
      <rPr>
        <sz val="8"/>
        <color theme="1"/>
        <rFont val="Calibri"/>
        <family val="2"/>
        <scheme val="minor"/>
      </rPr>
      <t xml:space="preserve"> DALYs per death of a young child averted</t>
    </r>
  </si>
  <si>
    <t>Best guess, based on treatment numbers provided by SCI. See SCI Treatment Numbers (October 2014). In the "totals" column, the percentage of treatments not marked for adults is 90.59%. Assuming that rows that don't specify "adult" are for children, based on case studies of Uganda ( http://files.givewell.org/files/conversations/Yolisa%20Nalule%2010-14-14%20(Public).pdf), Cote d'Ivoire (http://files.givewell.org/files/conversations/Sarah%20Nogaro%2010-16-14%20(public).pdf), Ethiopia  (http://files.givewell.org/files/conversations/Michael%20French%2010-15-14%20(Public).pdf) and Mozambique (Unpublished) which demonstrate that all treatments in those countries were for school aged children.</t>
  </si>
  <si>
    <t>GiveWell estimate of leverage DtW achieved through influencing India to conduct national deworming in states that DtW didn't directly work (assuming that DtW deserves 25% of the credit for deworming in new states).  See DtWl NDD leverage (unpublished).</t>
  </si>
  <si>
    <t>Other cost-effectiveness analyses (including past years versions)</t>
  </si>
  <si>
    <t>See note for corresponding parameter for DtW. We are unsure to what degree this impact may be relevant to SCI but using DtW adjustments may be plausible. Note, recommended treatment frequency for schisto is lower than for STH.</t>
  </si>
  <si>
    <t>Best guess, based on the fact that studies of iodine benefits took place in areas of moderate deficiency according to the WHO classification for UIC ("Mild iodine deficiency is defined as a median urinary iodine concentration of 50 to 99 mcg/L, moderate deficiency as 20 to 49 mcg/L, and severe deficiency as &lt;20 mcg/L") (see Table 1  http://www.givewell.org/international/technical/programs/salt-iodization#footnote15_lmwz1za), and conversations with ICCIDD representatives (Gregory Gerasimov and Izzeldin Hussein, unpublished) suggest that ICCIDD is likely to work in Russia, Kyrgyzstan, Ukraine, and Sudan, which have mild or no iodine deficiency. (78,114,90, and 66 mcg/L). However, we have some questions about the reliability of measuring UIC (http://www.givewell.org/node/2267#Howreliableandpredictiveismeasuringurinaryiodinecontent), and ICCIDD/GAIN may also prevent reversion to worse levels of iodine (see http://files.givewell.org/files/DWDA%202009/ICCIDD/ICCIDD%20slides%20Vietnam%202014.pdf) which could be just as good as increasing iodine. Also meant to account for the possibility of implementations in ICCIDD/GAIN countries being not as good as those done in RCTs.</t>
  </si>
  <si>
    <t>From http://www.givewell.org/international/technical/programs/salt-iodization#Improvingmentalfunction: "Fade-out. We are not sure whether the positive effects found in the trials with shorter follow-ups would persist over a longer time horizon.54 It appears that the most prominent discussion of fade-out comes from several long-term evaluations of early childhood education programs, which found that IQ increases fade out over time, though these findings are the subject of dispute.55 We are uncertain to what extent this literature generalizes to iodine supplementation programs. Even if IQ increases fade out, other related benefits may still persist.56"</t>
  </si>
  <si>
    <t>There have been some studies of cash transfers that show very large returns on investment. However the transfers in these studies have features that may encourage successful investment: in some cases transfers are given to recipients with pre-existing businesses, or to groups that submitted written proposals for how they would use the transfer. This input takes the average of lower and upper bounds from RCTs (see below on this sheet). Note that this is similar to the 48% estimated investment return for iron roofs found from a survey that GiveDirectly shared with us in 2014. We have not been able to resolve why the estimated return on investment of iron roofs implied from this survey is much larger than that implied elsewhere. For more details, see http://www.givewell.org/international/technical/programs/cash-transfers#AvariantofGiveDirectly.</t>
  </si>
  <si>
    <t>Baird et al 2015, Table 4 Pg 44. Note, this is using Intention-to-Treat effect rather than calculating a Treatment-on-the-Treated effect due to externalities complicating calculation of ToT effects. "The ITT approach is also attractive since previous research showed that untreated respondents within treatment communities experienced significant health and education gains (Miguel and Kremer 2004), complicating estimation of treatment effects on the treated. " (Baird et al 2012 p. 16).</t>
  </si>
  <si>
    <t>Baird et al 2015, Pg 7</t>
  </si>
  <si>
    <t xml:space="preserve"> Baird et al 2012, Pg ix. (Baird et al 2015 - November does not report this quantity though it appears not to have changed given that the reported number of observations in the analysis of the effect of deworming on wages has not changed)</t>
  </si>
  <si>
    <t>Calculating from GAIN's budget and GAIN's estimates of number of additional people reached in four case studies of GAIN's work (see http://www.givewell.org/international/charities/GAIN#FourcasestudiesofGAINsUSIwork), GAIN seems to spend around $0.08 per additional person iodized. This is also approximately the average of the two other estimates.</t>
  </si>
  <si>
    <t>While Baird et al 2012 found effects only for the 16.6% of wage earners, Croke 2014 found an increase in test scores for dewormed children, suggesting that there might be long-term mental benefits that may accrue to more than just wage-earners. The input is an approximate guess based on this new evidence. "Long term gains" are quantified in the cost-effectiveness analysis as income gains.</t>
  </si>
  <si>
    <t>Croke 2014</t>
  </si>
  <si>
    <t>http://files.givewell.org/files/DWDA%202009/Interventions/Deworming/Croke%202014.pdf</t>
  </si>
  <si>
    <t>Many iodine studies find an impact on IQ. It is less clear to what extent an increased IQ leads to an increase in well-being in impoverished areas. This input choice accounts for possibility that increased IQ doesn't lead to a meaningful increase in well-being in impoverished areas - it is largely a guess. See parameter explanations for 'Equivalent increase in wages from having iodine throughout childhood' for more information.</t>
  </si>
  <si>
    <t>Assumes that all children will benefit from iodine fortification. For reference, IQ gain from iodine from studies (~4 IQ points, or a quarter of a standard deviation) is an average across the population.</t>
  </si>
  <si>
    <t xml:space="preserve">GiveWell assumption. This implies that a year of having a bednet available as a child is half as good as a year of deworming treatment as a child. </t>
  </si>
  <si>
    <t>Implies that a year of having a bednet available as a child is equally valuable to a year of deworming as a child.</t>
  </si>
  <si>
    <t>Taken from Haushofer and Shapiro 2013, Pg 49. Non-durable expenditure (USD) in the control group is measured as 157.40 a month. This is multiplied by 12 to get an annual estimated, adjusted for purchasing power parity, and divided by average household size. See calculations for more details.</t>
  </si>
  <si>
    <t>http://www.givewell.org/international/top-charities/schistosomiasis-control-initiative#Whatdoyougetforyourdollar</t>
  </si>
  <si>
    <t>https://docs.google.com/a/givewell.org/spreadsheets/d/1kDOzGhjsVU_A7N6Abx0dbrcvaXeZvnMiochvp_ceVMs/edit?usp=sharing</t>
  </si>
  <si>
    <t>Lower end for RCTs of Ioannidis 2005's theoretical replicability (Table 4 in http://www.plosmedicine.org/article/info:doi/10.1371/journal.pmed.0020124): "Underpowered but well-performed Phase I/II RCT"</t>
  </si>
  <si>
    <t>We average four different comparisons between SCI and M&amp;K: options 2 and 3 (described in following cells) and the same approach as those two options applied to only hookworm and schisto. To see the underlying data, calculations and additional notes, see Intensity of Worms sheet.</t>
  </si>
  <si>
    <t>http://files.givewell.org/files/DWDA%202009/Interventions/Deworming/MK%20Reanalysis/KLPS-Labor_2012-08-05.pdf</t>
  </si>
  <si>
    <t>Approximate number of years between the start of the deworming program in Miguel and Kremer 2004 and the Baird et al. 2012 follow-up that found long term benefits (see Baird et al. 2012, Pg 1; "Ten years after the start of the program")</t>
  </si>
  <si>
    <t>Difference between the average age of children dewormed in Miguel and Kremer 2004 (12.0, see Baird et al. 2012, Pg 49) and hypothesized age of starting work of ~17.</t>
  </si>
  <si>
    <t>Guess based on the approximate number of years between deworming in Miguel and Kremer 2004 and the Baird et al. 2012 follow-up that found long term benefits (approximately 10 years), but adjusted downwards since the length of time between deworming and the start of work may be closer to five years (the average age of dewormed children in Miguel and Kremer was 12.0, see Baird et al. 2012, Pg 49).</t>
  </si>
  <si>
    <t>I26</t>
  </si>
  <si>
    <t>I27</t>
  </si>
  <si>
    <t>R39</t>
  </si>
  <si>
    <t>I35</t>
  </si>
  <si>
    <t>W20</t>
  </si>
  <si>
    <t>Josh</t>
  </si>
  <si>
    <t>Sophie</t>
  </si>
  <si>
    <t>Sarah</t>
  </si>
  <si>
    <t>D19</t>
  </si>
  <si>
    <t>G17</t>
  </si>
  <si>
    <t>G20</t>
  </si>
  <si>
    <t>J20</t>
  </si>
  <si>
    <t>M19</t>
  </si>
  <si>
    <t>M20</t>
  </si>
  <si>
    <t>I25</t>
  </si>
  <si>
    <t>I36</t>
  </si>
  <si>
    <t>G31</t>
  </si>
  <si>
    <t>S32</t>
  </si>
  <si>
    <t>S33</t>
  </si>
  <si>
    <t>G15</t>
  </si>
  <si>
    <t>For the mid-year 2016 update, staff generally thought less about updates to iodine than to the other programs.</t>
  </si>
  <si>
    <t>Intensity of worms sheet shows calculations for the prevalence and intensity adjustments for deworming charities.</t>
  </si>
  <si>
    <t>File published June 2016</t>
  </si>
  <si>
    <t>6. No Lean Season</t>
  </si>
  <si>
    <t>Input scenario parameters here:</t>
  </si>
  <si>
    <t>Source of 2014 income benefit data</t>
  </si>
  <si>
    <t>Endline survey</t>
  </si>
  <si>
    <t>Use which cost estimates?</t>
  </si>
  <si>
    <t>Year 4 (at scale)</t>
  </si>
  <si>
    <t>Recover loans at estimated recovery rate?</t>
  </si>
  <si>
    <t>With estimated recovery</t>
  </si>
  <si>
    <t>Additional costs of migration in the lean season (to the migrant)</t>
  </si>
  <si>
    <t>Include how many years of remigration (beyond the year of incentivization)?</t>
  </si>
  <si>
    <t>Mushfiq Mobarak estimates that the effects of incentivization persist for approximately three additional years. (http://files.givewell.org/files/conversations/Mushfiq_Mobarak_and_Karen_Levy_10-22-2015_(public).pdf) Long-term follow-up of households incentivized once and never again observed increased total household expenditures compared to control one year after the incentive (statistically significant, similar effect size to year of incentive). During a lesser lean season 2.5 years after incentivization, and during the lean season 5 years after incentivization, a nonsignificant similar effect size persisted. (See Table 9, received via email, unpublished.) In terms of migration rates, Bryan, Chowdhury, and Mobarak 2014 Table II p. 1683 (http://files.givewell.org//files/DWDA%202009/Migration/BryanChowdhuryMobarak2014.pdf) shows that households offered incentives in 2008 and never again had propensity to migrate 22 percentage points higher than control in 2008, 9.2 in 2009, (p&lt;0.01 for these two effects) and 7.0 in the lesser lean season in 2011, 2.5 years after offer (p&lt;0.05). One plausible interpretation of these data is that a smaller but more successful set of households remigrates each year. Enter your estimate for the average duration of the effect at-magnitude.</t>
  </si>
  <si>
    <t>Include how many years of remigration in LESSER lean seasons?</t>
  </si>
  <si>
    <t>How much benefit do offered households receive in LESSER lean seasons? (% of lean season benefit)</t>
  </si>
  <si>
    <t>External validity of seasonal migration research</t>
  </si>
  <si>
    <t>The program at scale takes place in the same region with the same implementers (Evidence Action and RDRS) as the source of our key evidence for the intervention. The program at scale differs in some aspects of implementation, especially proportion of eligible households offered incentive (100% rather than 50%), and occurs in later years. The value of this parameter is a judgement call by GiveWell staff.</t>
  </si>
  <si>
    <t>Replicability of seasonal migration research</t>
  </si>
  <si>
    <t>Research is often not reliable. Enter your expected probability that the effect found by Evidence Action actually exists. The value of this parameter is a judgement call by GiveWell staff.</t>
  </si>
  <si>
    <t>Calc'ed values:</t>
  </si>
  <si>
    <t>Baseline lean season consumption per capita</t>
  </si>
  <si>
    <t>Size of lean season income benefit per person</t>
  </si>
  <si>
    <t>Duration of benefits (months)</t>
  </si>
  <si>
    <t>Override to:</t>
  </si>
  <si>
    <t>N/A</t>
  </si>
  <si>
    <t>The benefits of No Lean Season are calculated:</t>
  </si>
  <si>
    <t>Increase in current consumption (ln(income), annualized)</t>
  </si>
  <si>
    <t>Present value of the sum of future lean season benefits (ln(income), annualized)</t>
  </si>
  <si>
    <t>Present value of the sum of future LESSER lean season benefits (ln(income), annualized)</t>
  </si>
  <si>
    <t>Present value of repayment of loan (ln(income), annualized)</t>
  </si>
  <si>
    <t>Conclusions</t>
  </si>
  <si>
    <t>No Lean Season</t>
  </si>
  <si>
    <t>External validity and replicability adjustments are incorporated at this step.</t>
  </si>
  <si>
    <t>No Lean Season is</t>
  </si>
  <si>
    <t>Parameter</t>
  </si>
  <si>
    <t>Sourc LINK (not necessarily public):</t>
  </si>
  <si>
    <t>LINK (not necessarily public):</t>
  </si>
  <si>
    <t>Scenarios</t>
  </si>
  <si>
    <t>Source of 2014 benefit data</t>
  </si>
  <si>
    <t>"Summary of Results" for 2014</t>
  </si>
  <si>
    <t>unpublished</t>
  </si>
  <si>
    <t>"No Lean Season January 2016 Update"</t>
  </si>
  <si>
    <t>http://files.givewell.org/files/DWDA 2009/Migration/No_Lean_Season_January_2016_Update.pdf</t>
  </si>
  <si>
    <t>No recovery</t>
  </si>
  <si>
    <t>Conversation with Mushfiq Mobarak and Karen Levy, 10/22/2015</t>
  </si>
  <si>
    <t>Mean household size</t>
  </si>
  <si>
    <t>Conversion rate USD/Taka</t>
  </si>
  <si>
    <t>oanda.com average of 2014 historical exchange rate</t>
  </si>
  <si>
    <t>http://www.oanda.com/currency/historical-rates/</t>
  </si>
  <si>
    <t>Gross total cost (without loan recovery)</t>
  </si>
  <si>
    <t>Households (eligible &amp; offered subsidy)</t>
  </si>
  <si>
    <t>Year 4 costs</t>
  </si>
  <si>
    <t>"No Lean Season January 2016 Update", Table 1: Summary Budget, "Gross Total" for Year 4</t>
  </si>
  <si>
    <t>Net total cost (cost with 70% estimated loan recovery and reinvestment)</t>
  </si>
  <si>
    <t>"No Lean Season January 2016 Update", Table 1: Summary Budget, "Net Total" for Year 4</t>
  </si>
  <si>
    <t>"No Lean Season January 2016 Update", Table 1: Summary Budget, "# of offered HH" for Year 4</t>
  </si>
  <si>
    <t>2014 benefits</t>
  </si>
  <si>
    <t>Endline: ITT results of mean migrant income above control (eligible &amp; offered, 50% group only)</t>
  </si>
  <si>
    <t>"Summary of Results" for 2014, Table 3(a)</t>
  </si>
  <si>
    <t>Endline: mean migrant income in control group</t>
  </si>
  <si>
    <t>Additional costs of migration during the lean season (to the migrant)</t>
  </si>
  <si>
    <t>Include no additional costs</t>
  </si>
  <si>
    <t>Loan recovery</t>
  </si>
  <si>
    <t>Baseline consumption outside of lean season (method 1)</t>
  </si>
  <si>
    <t>2010 HIES average monthly household consumption in Rangpur in takas</t>
  </si>
  <si>
    <t>http://www.bbs.gov.bd/WebTestApplication/userfiles/Image/LatestReports/HIES-10.pdf, p. 35; p. 63 of pdf</t>
  </si>
  <si>
    <t>Drop in consumption during 3 months of lean season</t>
  </si>
  <si>
    <t>Estimate of 2010 consumption outside of lean season</t>
  </si>
  <si>
    <t>We estimate average consumption outside the lean season as x in (9x+3*(.85x))/12 = 8298</t>
  </si>
  <si>
    <t>Cumulative inflation 2010-2016</t>
  </si>
  <si>
    <t>Estimate of 2016 average per capita monthly consumption in Rangpur outside of lean season in takas/person/month</t>
  </si>
  <si>
    <t>We find it plausible that this is an underestimate because we find it plausible that consumption has increased in real terms since 2010; however we also find it plausible that consumption for households targeted by No Lean Season is lower than the average for Rangpur.</t>
  </si>
  <si>
    <t>Estimate of 2016 average per capita monthly consumption in Rangpur outside of lean season in dollars/person/month</t>
  </si>
  <si>
    <t>Baseline consumption outside of lean season (method 2)</t>
  </si>
  <si>
    <t>Using this method is more consistent with the method we use to estimate baseline consumption in the lean season.</t>
  </si>
  <si>
    <t>For comparison, in takas:</t>
  </si>
  <si>
    <t>Drop in consumption during lean season</t>
  </si>
  <si>
    <t>Based on "No Lean Season January 2016 Update", we assume that the at-scale subsidy amount is $20.51. "No Lean Season January 2016 Update" estimates 70% recovery and reinvestment of loans. We assume 80% recovery (consistent with recovery observed in Bryan, Chowdhury, and Mobarak 2014, and consistent with some portion of recovered funds not being reinvested - e.g. covering additional costs or incentives for the implementing partner).</t>
  </si>
  <si>
    <t>Annualized for comparability</t>
  </si>
  <si>
    <t>Elsewhere (e.g. in our cost-effectiveness analysis of Give Directly), we assume that proportional changes in income have a duration of one year. Here, the proportional decrease in income due to loan repayment has duration of only one month. We assume that this is 1/12th as bad as the same proportional decrease in income lasting one year.</t>
  </si>
  <si>
    <t>http://files.givewell.org//files/DWDA%202009/Migration/BryanChowdhuryMobarak2014.pdf</t>
  </si>
  <si>
    <t>Table 9 values: consumption of control group (households never incentivized)</t>
  </si>
  <si>
    <t>2008 baseline consumption (takas/person/month)</t>
  </si>
  <si>
    <t>Dec 2008 mean consumption in control group (takas/person/month)</t>
  </si>
  <si>
    <t>Dec 2009 mean consumption in control group (takas/person/month)</t>
  </si>
  <si>
    <t>May-July 2011 mean consumption in control group (takas/person/month)</t>
  </si>
  <si>
    <t>2013 mean consumption in control group (takas/person/month)</t>
  </si>
  <si>
    <t>Estimating counterfactual lean season consumption in 2014 (year in which income benefit is measured)</t>
  </si>
  <si>
    <t>2014 did not collect consumption data. We have a control value of consumption data from 2013 in Table 9, for never-incentivized households. (Table 9 follows 2008-only incentivized households compared to pure controls.)</t>
  </si>
  <si>
    <t>Using 2013 control group consumption from Table 9</t>
  </si>
  <si>
    <t>We are uncertain about how consumption data presented in Table 9 was collected. We have not seen survey instruments from 2013.</t>
  </si>
  <si>
    <t>Inflated to 2014</t>
  </si>
  <si>
    <t>Converted to USD</t>
  </si>
  <si>
    <t>Using 2009 control group consumption collected in the second month of the lean season.</t>
  </si>
  <si>
    <t>Total consumption in control (Takas/person/month)</t>
  </si>
  <si>
    <t>Bangladeshi taka inflation rates</t>
  </si>
  <si>
    <t>Estimate of proportion of benefits experienced in the lesser lean season</t>
  </si>
  <si>
    <t>Benefits experienced in 2008 lean season</t>
  </si>
  <si>
    <t>Total consumption above control (takas/person/month)</t>
  </si>
  <si>
    <t>Consumption in control group (takas/person/month)</t>
  </si>
  <si>
    <t>Boost in consumption (proportional)</t>
  </si>
  <si>
    <t>Proportional increase in consumption</t>
  </si>
  <si>
    <t>Benefits experienced in 2011 lesser lean season</t>
  </si>
  <si>
    <t>NOT STATISTICALLY SIGNIFICANT</t>
  </si>
  <si>
    <t>Proportion of benefits experienced in lesser lean season (in terms of proportional increase in consumption)</t>
  </si>
  <si>
    <t>Proportional lean season income in ln terms</t>
  </si>
  <si>
    <t>Annual benefit</t>
  </si>
  <si>
    <t>In the summer of 2011, follow-up of households offered incentives in 2008 (but never again) measured migration rate and household expenditures during the lesser lean season. 2.5 years after the offer, 39% of these households sent a migrant in the lesser lean season, 7 percentage points higher than the 32% migration rate in the control group. This effect was significant at p&lt;0.05 (effects on migration in 2008 and 2009 were significant at p&lt;0.01). For comparison, migration rate for these households in 2008 (year of offer) was 58% (22 pctpts above control) and in 2009 (no new incentive) was 46.7% (9.2 pctpts above control). (See Bryan, Chowdhury and Mobarak 2014, Table II, p. 1683; http://files.givewell.org//files/DWDA%202009/Migration/BryanChowdhuryMobarak2014.pdf) Household expenditures compared to control in 2011 showed a similar effect size to measures in 2008 and 2009, but the result was not significant. Enter here the number of lesser lean seasons for which to count an effect, and also (below) the magnitude of the benefit compared to the benefit received in the year of incentivization (100% means same magnitude of effect).</t>
  </si>
  <si>
    <t>"No Lean Season January 2016 Update", Table 1 p. 5(http://files.givewell.org/files/DWDA 2009/Migration/No_Lean_Season_January_2016_Update.pdf) assumes household size of 4.</t>
  </si>
  <si>
    <t>In our model of the benefits of cash transfers, we measure the magnitude of income gained against baseline annual consumption. We do not have baseline consumption data for households in the 2014 RCT. We have seen a value for baseline consumption in 2013, however we have not seen how consumption data was collected in 2013. We also have baseline consumption values for households in 2008 and 2009 in the second month of the lean season, and have seen the associated survey instruments. Here we inflate the 2013 consumption level (most recent value available) in control villages to the 2014 value of the Bangladeshi taka (as we use benefit data from 2014), and multiply by 5 (the number of months over which migration income is measured). This assumes that the value of 2013 baseline consumption is an appropriate average for the 5 months surrounding the lean season; we are uncertain about this assumption (e.g. it may be a more appropriate estimate for the 3 months of lowest consumption). See sheet "NLS Parameters" for a (slightly lower) estimate based on the 2009 value of baseline consumption. As of this writing, the value of baseline consumption that we use in the cost-effectiveness analysis of cash transfers dates to 2013.</t>
  </si>
  <si>
    <t>In the 2014 round of No Lean Season, Evidence Action collected income benefit data in two ways.  (In our October 2014 conversation (http://files.givewell.org/files/conversations/Mushfiq_Mobarak_and_Karen_Levy_10-22-2015_(public).pdf), Evidence Action told us that consumption data was also collected, but in less detail than in previous rounds.) In "Summary of Results_FINAL", (unpublished), Table 3 presents income earned from migration (c.f. endline survey instrument sheet 9, questions 9.7 &amp; 9.8 (unpublished)) and household savings from an endline survey (covering 5 months). Table 4 presents income earned (from all sources) by any household member at home (in home village), and income earned by any household member away from home, and total income from high-frequency surveys conducted in origin villages every 10 days for 60 days starting about 30 days after incentives were distributed. From the high frequency survey insturment (unpublished), it appears that these surveys inquired about the income earned by household members present in the village at the time of the survey; hence, we believe that it captures some (e.g. if the migrant is home between migration episodes at the time of the survey) but not all of the income earned by migrants; hence, we do not use this data as a measure of the benefit of the program. Instead, we rely on the endline survey results. Some concerns with using endline survey results: the survey asks for total income earned in various categories over a five month period, which may be difficult for household members to estimate or recall; endline survey results of migration income may include migration income spent at the migration destination on migration-related expenses that are not appropriate to count as additional household consumption. Based on the finding of high-frequency surveys that income earned at home did not differ between the treament and control group, we believe that migration income did not displace income earned at home, and so it is appropriate to count migration income as additional income. In the 2014 endline survey, Evidence Action also asked about adverse effects of migration and impact on women; we have not seen results on these effects. Note that the 2010 Household Income and Expenditures Survey (HIES) for Bangladesh found that for rural households, consumption expenditure is 98.2% of total expenditure. (http://www.bbs.gov.bd/WebTestApplication/userfiles/Image/LatestReports/HIES-10.pdf p. 33)</t>
  </si>
  <si>
    <t>The endline survey measures income benefits over a period of 5 months. Option to enter (override) the selection of duration of benefits (in months) is not recommended.</t>
  </si>
  <si>
    <t>more conservative</t>
  </si>
  <si>
    <t>Method 2</t>
  </si>
  <si>
    <t>Method 1</t>
  </si>
  <si>
    <t>From "Table 9", email correspondence, unpublished,most recent version sent in "Answers to GiveWell", Oct 13 2015.</t>
  </si>
  <si>
    <t>Months over which cost of loan repayment is smoothed (assumption)</t>
  </si>
  <si>
    <t>Calculates benefit in total additional income (above control group) per household member. Any estimated "additional costs" of migration are subtracted here.</t>
  </si>
  <si>
    <t>Total additional income (per person) (all earned during lean season) (future years subtract cost of bus ticket; any estimated additional costs are already subtracted in AK18)</t>
  </si>
  <si>
    <t>In the first year, the cost of migration is not subtracted from the income benefit because it is handled separately as a loan repayment. However, in years beyond the first, we subtract the cost of migrant travel (assumed to be the same as the subsidy amount) from benefits earned.</t>
  </si>
  <si>
    <t>Included only for comparison purposes.</t>
  </si>
  <si>
    <t>Based on whether loan recovery is selected above, calculates the cost per person in households to which an offer is made.</t>
  </si>
  <si>
    <t xml:space="preserve"> In "No Lean Season - January 2016 Update" (http://files.givewell.org/files/DWDA%202009/Migration/No_Lean_Season_January_2016_Update.pdf), Evidence Action provides cost estimates for four years of program scale-up. We choose to use Year 4 costs for the program at scale.</t>
  </si>
  <si>
    <t>Loan recovery ratio</t>
  </si>
  <si>
    <t>Proportional benefit in ln terms each month (negative values because repaying loan is a 'negative benefit' on consumption)</t>
  </si>
  <si>
    <t>Cost of loan repayment per person (in ln terms)</t>
  </si>
  <si>
    <t>Estimate of 2014 baseline consumption in 5 months around lean season (USD/person/month)</t>
  </si>
  <si>
    <t>See referenced calculations below.</t>
  </si>
  <si>
    <t>Inflated to 2016 dollars</t>
  </si>
  <si>
    <t>Evidence Action is considering whether to offer incentives in the form of grants (which migrants do not need to pay back) or limited-liability loans, which migrants may repay at a later time. (Conversation with Mushfiq Mobarak and Karen Levy, 10/22/2015 http://files.givewell.org/files/conversations/Mushfiq_Mobarak_and_Karen_Levy_10-22-2015_(public).pdf) Evidence Action estimates 30% recovery and reinvestment of loans in Year 1, and 70% in Year 4. A previous round observed approximately 80% repayment of loans (Bryan, Chowdhury, and Mobarak 2014, p. 1678). If "With estimated recovery" is selected, we estimate below a "cost of loan repayment per person" in ln(income) terms. For more on costs, see "No Lean Season - January 2016 Update" (http://files.givewell.org/files/DWDA%202009/Migration/No_Lean_Season_January_2016_Update.pdf).</t>
  </si>
  <si>
    <t>"No Lean Season January 2016 Update", Table 1 p. 5 assumes household size of 4. We have also seen values for average household size ranging from 3.78-3.94 in analysis of followup with households incentivized in 2008 and never again. ("Table 9", email correspondence, unpublished,most recent version sent in "Answers to GiveWell", Oct 13 2015.)</t>
  </si>
  <si>
    <t>"Summary of Results" for 2014, Table 3(a); although this value is labeled only "Mean" in this table, our understanding is that this label refers to the mean in the control group. See, for comparison, Table 4(a) which specifies "Mean in Control" and also Bryan, Chowdhury and Mobarak 2014 e.g. p. 1687 where column label "Mean" is explained in the footnote: "The last column reports sample mean of the dependent variable in the control group."</t>
  </si>
  <si>
    <t>The endline survey reports total increase in income over 5 months duration. See "Summary of Results" for 2014, p. 4.</t>
  </si>
  <si>
    <t>cost per additional trip</t>
  </si>
  <si>
    <t>Assumed to be the same as the subsidy amount; see source referenced below.</t>
  </si>
  <si>
    <t>uptake of migration among households offered the incentive</t>
  </si>
  <si>
    <t>Costs of average number of additional voluntary trips ($4.57)</t>
  </si>
  <si>
    <t>The subsidy amount (grant or loan) is intended to cover "the cost of round trip travel, including the bus tickets and a few days of food." ("Summary of Results_FINAL", p. 1, unpublished). However, migrants may incur additional costs due to migration. Because we calculate benefits based on reported income, we believe that offsetting the benefit of additional income by any additional costs experienced by the migrant is appropriate (i.e. some portion of the additional income goes towards additional costs, not towards increasing consumption). We are highly uncertain about what additional costs migrants experience (for example, we are uncertain about whether lodging is provided with employment, or whether it is paid for out of wages; based on the 2014 endline survey instrument - unpublished - we believe that measured income included value of any food earned through work, but we do not see lodging included either as a benefit or as a cost). At the least, we believe that migrants incurred the cost of voluntary trips in addition to that paid for with the subsidy (see parameters page for more on how this was estimated). The 2014 endline survey also asked about costs associated with fraud and adverse effects (such as medical expenses, theft), but we have not yet seen results from that part of the survey. We arbitrarily include the option to count 20% of income earned via migration as going to migrant costs rather than consumption benefit. The value of 20% is not well-motivated and can be changed in the calculation on the sheet "NLS Parameters".</t>
  </si>
  <si>
    <t>in USD/household</t>
  </si>
  <si>
    <t>http://data.worldbank.org/indicator/FP.CPI.TOTL.ZG?locations=BD</t>
  </si>
  <si>
    <t>This method of estimating baseline consumption outside the lean season yields a result which seems too high, given that we estimate baseline monthly lean season consumption per capita $23.19/person/month (see section on this sheet, "Estimating counterfactual lean season consumption in 2014"), and we expect consumption to be 10-25% lower in the lean season, not 50% lower as implied by the estimate here.</t>
  </si>
  <si>
    <t>For comparison only; not used in this CEA.</t>
  </si>
  <si>
    <t>Bryan, Chowdhury, and Mobarak 2014, p. 1687, Table III-Continued (2009 data), row "Total consumption", column "Mean".</t>
  </si>
  <si>
    <t>We are uncertain about the level of benefit that households experience from migration in the lesser lean season. Note that we expect baseline consumption to be greater in the lesser lean season, hence the proportional effect of increased income to be smaller. See sheet "NLS Parameters" for a rough calculation estimating the relative benefits of migration in the lean season (based on 2008) compared to the lesser lean season (based on 2011), motivating an estimate of 70% benefit experienced in the lesser lean season 2.5 years after incentivization. We find it plausible that benefits decay with time, and hence give our estimate of the average benefit in a lesser lean season a 6 percentage point 'boost'; this is fairly arbitrary and can be adjusted in the cell to the left of this comment.</t>
  </si>
  <si>
    <t>From "Table 9", email correspondence, unpublished,most recent version sent in "Answers to GiveWell", Oct 13 2015. Although the result in 2011 Is not statistically significant, here we use the magnitude it to inform a rough guess at the benefit experienced in a later lesser lean season compared to in the year of incentivization.</t>
  </si>
  <si>
    <t>Loan (subsidy) amount per household which accepts the loan (in dollars)</t>
  </si>
  <si>
    <t>Uptake of migration among households offered the incentive</t>
  </si>
  <si>
    <t>Throughout this CEA, benefits and costs are calculated on an intent-to-treat basis. The additional costs of migration on an intent-to-treat basis depend on the uptake rate of migration among households to which an incentive offer is made. "Summary of Results" for 2014 (unpublished), p. 6, Table 1 reports that 39.8% of households in the group "50% and offered grant" sent "At least one migrant".</t>
  </si>
  <si>
    <t>For reference: cumulative costs Year 1 to Year 4</t>
  </si>
  <si>
    <t>number of additional voluntary trips</t>
  </si>
  <si>
    <t>Mobarak, "General equilibrium effects of rural - urban migration" slides from presentation at Harvard University on 05/06/2016, received by GiveWell via email on 05/09/2016. See slide 23 (slide 26 when including hidden slides), which states that migrants in the 50%-intensity arm made an average of 1.56 round trips, citing 2014 endline results. Clarification received via email on 07/24/2016 and 07/25/2016 verifies that "this is the number of trips ever-migrants in each of those arms make".</t>
  </si>
  <si>
    <t>15% is conservative. "In addition to the higher level of poverty compared to the rest of Bangladesh, the Rangpur region experiences more pronounced seasonality in income and consumption, with incomes decreasing by 50–60% and total household expenditures dropping by 10–25% during the post-planting and pre-harvest season (September– November)". Bryan, Chowdhury, and Mobarak 2014, pp. 1675-6.</t>
  </si>
  <si>
    <t>Based on "No Lean Season January 2016 Update" p.5, "Summary Budget" table. This is the quotient of lines "Total in Subsidy" and "# of recipient HHs (i.e. # of offered HH who take the subsidy)" for Year 4. See also table line "Subsidy amount" for Year 4: $20.51.</t>
  </si>
  <si>
    <t>Cost per person of loan repayment (for households which accepted the offer)</t>
  </si>
  <si>
    <t>Adjusted for uptake of migration among households to which an offer was made</t>
  </si>
  <si>
    <t>Throughout this CEA, benefits and costs are calculated on an intent-to-treat basis. "Summary of Results" for 2014 (unpublished), p. 6, Table 1 reports that 39.8% of households in the group "50% and offered grant" sent "At least one migrant". We adjust the cost of repaying the loan by the chance that a household accepted the loan.</t>
  </si>
  <si>
    <t>If loan recovery is selected above, this parameter models the (small) detrimental effect of repaying the No Lean Season subsidy after the end of the lean season. A positive value indicates a positive cost (i.e. a detriment to benefit); the sign is changed below when benefits and costs are summed. This value relies on an estimate of household consumption outside of the lean season. To our knowledge, no RCT associated with No Lean Season has attempted to measure income or consumption in eligible households outside of the lean season. Our best-guess estimates of consumption outside the lean season are shown on the "NLS Parameters" tab, as well as the calculations leading to this estimate.
Notes about this estimate:
We are not confident about when recipients repay loans. According to Evidence Action's April 2016 draft "NLS Program Delivery Protocol and Gantt Chart" (unpublished), loan recovery is scheduled for December through February. Our understanding is that the aman rice harvest in Rangpur takes place in late November and December. Seasonality graphs in Bryan, Chowdhury, and Mobarak 2014 p. 1676 using 2000 HIES data show total expenditures per capita at annual peak in March. Panel A appears to show that expenditures dip low in January compared to September-December and compared to February. We are uncertain how to interpret this January dip.
For the purposes of this estimate, we assume that households that repay the loan engage in some near-term consumption smoothing. We assume that households smooth consumption over two months of average non-lean-season consumption. As loan repayment appears to closely follow the lean season, we imagine that consumption might in fact be lower than average in one of these months (at the end of the lean season) and higher than average in the other (due to the aman rice harvest). If loan recovery timing is designed to target the month of greatest consumption (following the aman rice harvest), it may be more appropriate to model the cost of loan repayment as restricted to that month, and to use estimated peak monthly consumption rather than estimated average non-lean-season consumption.
Based on the observed seasonal trends in consumption, we believe it would be inaccurate to assume that households smooth consumption (and costs such as loan repayment) across the entire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</si>
</sst>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0"/>
    <numFmt numFmtId="167" formatCode="\$#,##0.00_);[Red]&quot;($&quot;#,##0.00\)"/>
    <numFmt numFmtId="168" formatCode="&quot;$&quot;#,##0"/>
    <numFmt numFmtId="169" formatCode="0.0000000000"/>
    <numFmt numFmtId="170" formatCode="0.00000000000"/>
    <numFmt numFmtId="171" formatCode="0.000000"/>
    <numFmt numFmtId="172" formatCode="0.00000000000000%"/>
    <numFmt numFmtId="173" formatCode="0.00000000"/>
    <numFmt numFmtId="174" formatCode="#,##0.000"/>
    <numFmt numFmtId="175" formatCode="\$#,##0_);[Red]&quot;($&quot;#,##0\)"/>
    <numFmt numFmtId="176" formatCode="#,##0.0"/>
    <numFmt numFmtId="177" formatCode="0.0"/>
    <numFmt numFmtId="178" formatCode="#,##0.00000"/>
    <numFmt numFmtId="179" formatCode="0.000%"/>
    <numFmt numFmtId="180" formatCode="0.0000000000000%"/>
    <numFmt numFmtId="181" formatCode="#,##0.000000"/>
    <numFmt numFmtId="182" formatCode="0.000"/>
    <numFmt numFmtId="183" formatCode="0.00000%"/>
    <numFmt numFmtId="184" formatCode="_(&quot;$&quot;* #,##0_);_(&quot;$&quot;* \(#,##0\);_(&quot;$&quot;* &quot;-&quot;??_);_(@_)"/>
  </numFmts>
  <fonts count="55" x14ac:knownFonts="1">
    <font>
      <sz val="11"/>
      <color theme="1"/>
      <name val="Calibri"/>
      <family val="2"/>
      <scheme val="minor"/>
    </font>
    <font>
      <sz val="12"/>
      <color theme="1"/>
      <name val="Calibri"/>
      <family val="2"/>
      <scheme val="minor"/>
    </font>
    <font>
      <sz val="9"/>
      <color indexed="81"/>
      <name val="Tahoma"/>
      <family val="2"/>
    </font>
    <font>
      <b/>
      <i/>
      <sz val="8"/>
      <color indexed="8"/>
      <name val="Calibri"/>
      <family val="2"/>
    </font>
    <font>
      <sz val="11"/>
      <color theme="1"/>
      <name val="Calibri"/>
      <family val="2"/>
      <scheme val="minor"/>
    </font>
    <font>
      <u/>
      <sz val="10"/>
      <color theme="10"/>
      <name val="Arial"/>
      <family val="2"/>
    </font>
    <font>
      <b/>
      <sz val="11"/>
      <color theme="1"/>
      <name val="Calibri"/>
      <family val="2"/>
      <scheme val="minor"/>
    </font>
    <font>
      <sz val="8"/>
      <color theme="1"/>
      <name val="Calibri"/>
      <family val="2"/>
      <scheme val="minor"/>
    </font>
    <font>
      <b/>
      <sz val="8"/>
      <color theme="1"/>
      <name val="Calibri"/>
      <family val="2"/>
      <scheme val="minor"/>
    </font>
    <font>
      <sz val="8"/>
      <color rgb="FFFF0000"/>
      <name val="Calibri"/>
      <family val="2"/>
      <scheme val="minor"/>
    </font>
    <font>
      <sz val="8"/>
      <name val="Calibri"/>
      <family val="2"/>
      <scheme val="minor"/>
    </font>
    <font>
      <b/>
      <sz val="22"/>
      <color theme="1"/>
      <name val="Calibri"/>
      <family val="2"/>
      <scheme val="minor"/>
    </font>
    <font>
      <u/>
      <sz val="8"/>
      <color theme="10"/>
      <name val="Arial"/>
      <family val="2"/>
    </font>
    <font>
      <i/>
      <sz val="9"/>
      <color theme="1"/>
      <name val="Calibri"/>
      <family val="2"/>
      <scheme val="minor"/>
    </font>
    <font>
      <b/>
      <sz val="9"/>
      <color theme="1"/>
      <name val="Calibri"/>
      <family val="2"/>
      <scheme val="minor"/>
    </font>
    <font>
      <sz val="18"/>
      <color theme="1"/>
      <name val="Calibri"/>
      <family val="2"/>
      <scheme val="minor"/>
    </font>
    <font>
      <b/>
      <sz val="12"/>
      <color theme="1"/>
      <name val="Calibri"/>
      <family val="2"/>
      <scheme val="minor"/>
    </font>
    <font>
      <b/>
      <sz val="14"/>
      <color theme="1"/>
      <name val="Calibri"/>
      <family val="2"/>
      <scheme val="minor"/>
    </font>
    <font>
      <b/>
      <sz val="15"/>
      <color theme="1"/>
      <name val="Calibri"/>
      <family val="2"/>
      <scheme val="minor"/>
    </font>
    <font>
      <sz val="9"/>
      <color theme="1"/>
      <name val="Calibri"/>
      <family val="2"/>
      <scheme val="minor"/>
    </font>
    <font>
      <i/>
      <sz val="8"/>
      <color theme="1"/>
      <name val="Calibri"/>
      <family val="2"/>
      <scheme val="minor"/>
    </font>
    <font>
      <b/>
      <sz val="18"/>
      <color theme="1"/>
      <name val="Calibri"/>
      <family val="2"/>
      <scheme val="minor"/>
    </font>
    <font>
      <b/>
      <i/>
      <sz val="8"/>
      <color theme="1"/>
      <name val="Calibri"/>
      <family val="2"/>
      <scheme val="minor"/>
    </font>
    <font>
      <sz val="12"/>
      <color indexed="8"/>
      <name val="Calibri"/>
      <family val="2"/>
    </font>
    <font>
      <b/>
      <u/>
      <sz val="11"/>
      <color theme="1"/>
      <name val="Calibri"/>
      <family val="2"/>
      <scheme val="minor"/>
    </font>
    <font>
      <b/>
      <sz val="11"/>
      <color indexed="8"/>
      <name val="Calibri"/>
      <family val="2"/>
      <scheme val="minor"/>
    </font>
    <font>
      <i/>
      <sz val="11"/>
      <name val="Calibri"/>
      <family val="2"/>
      <scheme val="minor"/>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1"/>
      <color indexed="12"/>
      <name val="Calibri"/>
      <family val="2"/>
      <scheme val="minor"/>
    </font>
    <font>
      <i/>
      <sz val="11"/>
      <color indexed="12"/>
      <name val="Calibri"/>
      <family val="2"/>
      <scheme val="minor"/>
    </font>
    <font>
      <sz val="9"/>
      <color indexed="81"/>
      <name val="Calibri"/>
      <family val="2"/>
    </font>
    <font>
      <u/>
      <sz val="11"/>
      <color theme="11"/>
      <name val="Calibri"/>
      <family val="2"/>
      <scheme val="minor"/>
    </font>
    <font>
      <sz val="10"/>
      <name val="Arial"/>
      <family val="2"/>
    </font>
    <font>
      <u/>
      <sz val="12"/>
      <color indexed="12"/>
      <name val="Calibri"/>
      <family val="2"/>
    </font>
    <font>
      <i/>
      <sz val="11"/>
      <color theme="1"/>
      <name val="Calibri"/>
      <family val="2"/>
      <scheme val="minor"/>
    </font>
    <font>
      <b/>
      <sz val="9"/>
      <color indexed="81"/>
      <name val="Tahoma"/>
      <family val="2"/>
    </font>
    <font>
      <u/>
      <sz val="8"/>
      <color theme="1"/>
      <name val="Calibri"/>
      <family val="2"/>
      <scheme val="minor"/>
    </font>
    <font>
      <sz val="12"/>
      <color theme="1"/>
      <name val="Calibri"/>
      <family val="2"/>
      <scheme val="minor"/>
    </font>
    <font>
      <b/>
      <sz val="10"/>
      <color theme="1"/>
      <name val="Calibri"/>
      <family val="2"/>
      <scheme val="minor"/>
    </font>
    <font>
      <sz val="11"/>
      <color indexed="206"/>
      <name val="Calibri"/>
      <family val="2"/>
    </font>
    <font>
      <b/>
      <sz val="10"/>
      <name val="Arial"/>
      <family val="2"/>
    </font>
    <font>
      <u/>
      <sz val="10"/>
      <color indexed="12"/>
      <name val="Arial"/>
      <family val="2"/>
    </font>
    <font>
      <u/>
      <sz val="10"/>
      <name val="Arial"/>
      <family val="2"/>
    </font>
    <font>
      <sz val="10"/>
      <color theme="2" tint="-0.249977111117893"/>
      <name val="Arial"/>
      <family val="2"/>
    </font>
    <font>
      <sz val="10"/>
      <color rgb="FF000000"/>
      <name val="Arial"/>
      <family val="2"/>
    </font>
    <font>
      <u/>
      <sz val="10"/>
      <color rgb="FF000000"/>
      <name val="Arial"/>
      <family val="2"/>
    </font>
    <font>
      <b/>
      <u/>
      <sz val="10"/>
      <color rgb="FF000000"/>
      <name val="Arial"/>
      <family val="2"/>
    </font>
    <font>
      <b/>
      <sz val="10"/>
      <color rgb="FF000000"/>
      <name val="Arial"/>
      <family val="2"/>
    </font>
    <font>
      <i/>
      <sz val="10"/>
      <color rgb="FF000000"/>
      <name val="Arial"/>
      <family val="2"/>
    </font>
    <font>
      <sz val="10"/>
      <color indexed="8"/>
      <name val="Arial"/>
      <family val="2"/>
    </font>
    <font>
      <sz val="9"/>
      <color indexed="81"/>
      <name val="Arial"/>
      <family val="2"/>
    </font>
    <font>
      <b/>
      <sz val="9"/>
      <color indexed="81"/>
      <name val="Calibri"/>
      <family val="2"/>
    </font>
  </fonts>
  <fills count="2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7F7F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indexed="13"/>
        <bgColor indexed="64"/>
      </patternFill>
    </fill>
    <fill>
      <patternFill patternType="solid">
        <fgColor theme="9"/>
        <bgColor indexed="64"/>
      </patternFill>
    </fill>
    <fill>
      <patternFill patternType="solid">
        <fgColor theme="9" tint="0.59999389629810485"/>
        <bgColor indexed="64"/>
      </patternFill>
    </fill>
    <fill>
      <patternFill patternType="solid">
        <fgColor rgb="FFFFF2CC"/>
        <bgColor indexed="64"/>
      </patternFill>
    </fill>
    <fill>
      <patternFill patternType="solid">
        <fgColor theme="5" tint="0.59999389629810485"/>
        <bgColor indexed="64"/>
      </patternFill>
    </fill>
  </fills>
  <borders count="144">
    <border>
      <left/>
      <right/>
      <top/>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dotted">
        <color auto="1"/>
      </right>
      <top/>
      <bottom/>
      <diagonal/>
    </border>
    <border>
      <left style="dotted">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right/>
      <top style="medium">
        <color auto="1"/>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style="thin">
        <color theme="2" tint="-0.249977111117893"/>
      </top>
      <bottom style="thin">
        <color theme="2" tint="-0.249977111117893"/>
      </bottom>
      <diagonal/>
    </border>
    <border>
      <left style="thin">
        <color theme="2" tint="-9.9948118533890809E-2"/>
      </left>
      <right/>
      <top style="medium">
        <color auto="1"/>
      </top>
      <bottom/>
      <diagonal/>
    </border>
    <border>
      <left style="thin">
        <color theme="2" tint="-9.9948118533890809E-2"/>
      </left>
      <right style="thin">
        <color theme="2" tint="-9.9948118533890809E-2"/>
      </right>
      <top style="medium">
        <color auto="1"/>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medium">
        <color auto="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dotted">
        <color auto="1"/>
      </left>
      <right/>
      <top style="thin">
        <color theme="2" tint="-0.249977111117893"/>
      </top>
      <bottom/>
      <diagonal/>
    </border>
    <border>
      <left/>
      <right style="dotted">
        <color auto="1"/>
      </right>
      <top style="thin">
        <color theme="2" tint="-0.249977111117893"/>
      </top>
      <bottom/>
      <diagonal/>
    </border>
    <border>
      <left style="thin">
        <color theme="2" tint="-9.9948118533890809E-2"/>
      </left>
      <right/>
      <top style="medium">
        <color auto="1"/>
      </top>
      <bottom style="thin">
        <color theme="2" tint="-9.9948118533890809E-2"/>
      </bottom>
      <diagonal/>
    </border>
    <border>
      <left/>
      <right style="thin">
        <color theme="2" tint="-9.9948118533890809E-2"/>
      </right>
      <top style="medium">
        <color auto="1"/>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auto="1"/>
      </left>
      <right style="thin">
        <color theme="2" tint="-9.9948118533890809E-2"/>
      </right>
      <top/>
      <bottom/>
      <diagonal/>
    </border>
    <border>
      <left style="medium">
        <color auto="1"/>
      </left>
      <right style="thin">
        <color theme="2" tint="-9.9948118533890809E-2"/>
      </right>
      <top/>
      <bottom style="medium">
        <color auto="1"/>
      </bottom>
      <diagonal/>
    </border>
    <border>
      <left style="medium">
        <color auto="1"/>
      </left>
      <right style="thin">
        <color theme="2" tint="-9.9948118533890809E-2"/>
      </right>
      <top style="medium">
        <color auto="1"/>
      </top>
      <bottom/>
      <diagonal/>
    </border>
    <border>
      <left/>
      <right style="dotted">
        <color auto="1"/>
      </right>
      <top/>
      <bottom style="thin">
        <color theme="2" tint="-0.249977111117893"/>
      </bottom>
      <diagonal/>
    </border>
    <border>
      <left style="dotted">
        <color auto="1"/>
      </left>
      <right/>
      <top/>
      <bottom style="thin">
        <color theme="2" tint="-0.249977111117893"/>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theme="2" tint="-9.9948118533890809E-2"/>
      </left>
      <right/>
      <top style="thin">
        <color theme="2" tint="-9.9917600024414813E-2"/>
      </top>
      <bottom style="thin">
        <color theme="2" tint="-9.9917600024414813E-2"/>
      </bottom>
      <diagonal/>
    </border>
    <border>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medium">
        <color auto="1"/>
      </top>
      <bottom/>
      <diagonal/>
    </border>
    <border>
      <left/>
      <right/>
      <top style="thin">
        <color theme="2" tint="-9.9917600024414813E-2"/>
      </top>
      <bottom style="thin">
        <color theme="2" tint="-9.9917600024414813E-2"/>
      </bottom>
      <diagonal/>
    </border>
    <border>
      <left style="thin">
        <color theme="2" tint="-9.9948118533890809E-2"/>
      </left>
      <right style="thin">
        <color theme="2" tint="-9.9917600024414813E-2"/>
      </right>
      <top style="thin">
        <color theme="2" tint="-9.9917600024414813E-2"/>
      </top>
      <bottom style="thin">
        <color theme="2" tint="-9.9917600024414813E-2"/>
      </bottom>
      <diagonal/>
    </border>
    <border>
      <left style="thin">
        <color theme="2" tint="-9.9948118533890809E-2"/>
      </left>
      <right style="medium">
        <color auto="1"/>
      </right>
      <top style="medium">
        <color auto="1"/>
      </top>
      <bottom/>
      <diagonal/>
    </border>
    <border>
      <left style="thin">
        <color theme="2" tint="-9.9948118533890809E-2"/>
      </left>
      <right style="medium">
        <color auto="1"/>
      </right>
      <top style="thin">
        <color theme="2" tint="-9.9917600024414813E-2"/>
      </top>
      <bottom style="thin">
        <color theme="2" tint="-9.9917600024414813E-2"/>
      </bottom>
      <diagonal/>
    </border>
    <border>
      <left style="dotted">
        <color auto="1"/>
      </left>
      <right/>
      <top/>
      <bottom style="thin">
        <color theme="0" tint="-0.34998626667073579"/>
      </bottom>
      <diagonal/>
    </border>
    <border>
      <left/>
      <right style="dotted">
        <color auto="1"/>
      </right>
      <top/>
      <bottom style="thin">
        <color theme="0" tint="-0.34998626667073579"/>
      </bottom>
      <diagonal/>
    </border>
    <border>
      <left style="dotted">
        <color auto="1"/>
      </left>
      <right/>
      <top style="dotted">
        <color auto="1"/>
      </top>
      <bottom style="thin">
        <color theme="0" tint="-0.24994659260841701"/>
      </bottom>
      <diagonal/>
    </border>
    <border>
      <left/>
      <right style="dotted">
        <color auto="1"/>
      </right>
      <top style="dotted">
        <color auto="1"/>
      </top>
      <bottom style="thin">
        <color theme="0" tint="-0.24994659260841701"/>
      </bottom>
      <diagonal/>
    </border>
    <border>
      <left style="dotted">
        <color auto="1"/>
      </left>
      <right/>
      <top style="thin">
        <color theme="0" tint="-0.34998626667073579"/>
      </top>
      <bottom/>
      <diagonal/>
    </border>
    <border>
      <left/>
      <right style="dotted">
        <color auto="1"/>
      </right>
      <top style="thin">
        <color theme="0" tint="-0.34998626667073579"/>
      </top>
      <bottom/>
      <diagonal/>
    </border>
    <border>
      <left style="dotted">
        <color auto="1"/>
      </left>
      <right/>
      <top style="thin">
        <color theme="0" tint="-0.24994659260841701"/>
      </top>
      <bottom style="thin">
        <color theme="2" tint="-0.249977111117893"/>
      </bottom>
      <diagonal/>
    </border>
    <border>
      <left/>
      <right/>
      <top style="dotted">
        <color auto="1"/>
      </top>
      <bottom/>
      <diagonal/>
    </border>
    <border>
      <left/>
      <right/>
      <top/>
      <bottom style="dotted">
        <color auto="1"/>
      </bottom>
      <diagonal/>
    </border>
    <border>
      <left style="dotted">
        <color auto="1"/>
      </left>
      <right/>
      <top style="thin">
        <color theme="2" tint="-0.249977111117893"/>
      </top>
      <bottom style="thin">
        <color theme="0" tint="-0.24994659260841701"/>
      </bottom>
      <diagonal/>
    </border>
    <border>
      <left/>
      <right style="dotted">
        <color auto="1"/>
      </right>
      <top style="thin">
        <color theme="2" tint="-0.249977111117893"/>
      </top>
      <bottom style="thin">
        <color theme="0" tint="-0.24994659260841701"/>
      </bottom>
      <diagonal/>
    </border>
    <border>
      <left/>
      <right style="dotted">
        <color auto="1"/>
      </right>
      <top style="thin">
        <color theme="0" tint="-0.24994659260841701"/>
      </top>
      <bottom style="thin">
        <color theme="0" tint="-0.24994659260841701"/>
      </bottom>
      <diagonal/>
    </border>
    <border>
      <left/>
      <right style="dotted">
        <color auto="1"/>
      </right>
      <top style="thin">
        <color theme="0" tint="-0.24994659260841701"/>
      </top>
      <bottom style="thin">
        <color theme="2" tint="-0.249977111117893"/>
      </bottom>
      <diagonal/>
    </border>
    <border>
      <left style="dotted">
        <color auto="1"/>
      </left>
      <right/>
      <top style="thin">
        <color theme="0" tint="-0.24994659260841701"/>
      </top>
      <bottom style="thin">
        <color theme="0" tint="-0.24994659260841701"/>
      </bottom>
      <diagonal/>
    </border>
    <border>
      <left style="dotted">
        <color auto="1"/>
      </left>
      <right/>
      <top style="thin">
        <color theme="0" tint="-0.24994659260841701"/>
      </top>
      <bottom/>
      <diagonal/>
    </border>
    <border>
      <left/>
      <right style="dotted">
        <color auto="1"/>
      </right>
      <top style="thin">
        <color theme="0" tint="-0.24994659260841701"/>
      </top>
      <bottom/>
      <diagonal/>
    </border>
    <border>
      <left style="dotted">
        <color auto="1"/>
      </left>
      <right/>
      <top style="dotted">
        <color auto="1"/>
      </top>
      <bottom style="dotted">
        <color auto="1"/>
      </bottom>
      <diagonal/>
    </border>
    <border>
      <left/>
      <right style="dotted">
        <color auto="1"/>
      </right>
      <top style="thin">
        <color theme="2" tint="-0.249977111117893"/>
      </top>
      <bottom style="dotted">
        <color auto="1"/>
      </bottom>
      <diagonal/>
    </border>
    <border>
      <left style="dotted">
        <color auto="1"/>
      </left>
      <right/>
      <top style="thin">
        <color theme="2" tint="-0.249977111117893"/>
      </top>
      <bottom style="dotted">
        <color auto="1"/>
      </bottom>
      <diagonal/>
    </border>
    <border>
      <left/>
      <right style="dotted">
        <color auto="1"/>
      </right>
      <top style="thin">
        <color theme="0" tint="-0.34998626667073579"/>
      </top>
      <bottom style="dotted">
        <color auto="1"/>
      </bottom>
      <diagonal/>
    </border>
    <border>
      <left style="dotted">
        <color auto="1"/>
      </left>
      <right/>
      <top style="thin">
        <color theme="0" tint="-0.34998626667073579"/>
      </top>
      <bottom style="dotted">
        <color auto="1"/>
      </bottom>
      <diagonal/>
    </border>
    <border>
      <left style="thin">
        <color theme="2" tint="-9.9917600024414813E-2"/>
      </left>
      <right/>
      <top style="thin">
        <color theme="2" tint="-9.9917600024414813E-2"/>
      </top>
      <bottom style="thin">
        <color theme="2" tint="-9.9917600024414813E-2"/>
      </bottom>
      <diagonal/>
    </border>
    <border>
      <left style="thin">
        <color theme="2" tint="-9.9948118533890809E-2"/>
      </left>
      <right/>
      <top style="medium">
        <color auto="1"/>
      </top>
      <bottom style="thin">
        <color theme="2" tint="-9.9917600024414813E-2"/>
      </bottom>
      <diagonal/>
    </border>
    <border>
      <left/>
      <right style="thin">
        <color theme="2" tint="-9.9948118533890809E-2"/>
      </right>
      <top style="medium">
        <color auto="1"/>
      </top>
      <bottom style="thin">
        <color theme="2" tint="-9.9917600024414813E-2"/>
      </bottom>
      <diagonal/>
    </border>
    <border>
      <left style="dotted">
        <color auto="1"/>
      </left>
      <right/>
      <top style="dotted">
        <color auto="1"/>
      </top>
      <bottom style="thin">
        <color theme="2" tint="-0.249977111117893"/>
      </bottom>
      <diagonal/>
    </border>
    <border>
      <left/>
      <right style="dotted">
        <color auto="1"/>
      </right>
      <top style="dotted">
        <color auto="1"/>
      </top>
      <bottom/>
      <diagonal/>
    </border>
    <border>
      <left style="dotted">
        <color auto="1"/>
      </left>
      <right/>
      <top style="thin">
        <color theme="2" tint="-0.249977111117893"/>
      </top>
      <bottom style="thin">
        <color theme="2" tint="-0.249977111117893"/>
      </bottom>
      <diagonal/>
    </border>
    <border>
      <left/>
      <right style="dotted">
        <color auto="1"/>
      </right>
      <top style="dotted">
        <color auto="1"/>
      </top>
      <bottom style="dotted">
        <color auto="1"/>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48118533890809E-2"/>
      </right>
      <top style="thin">
        <color theme="2" tint="-9.9917600024414813E-2"/>
      </top>
      <bottom style="thin">
        <color theme="2" tint="-9.9948118533890809E-2"/>
      </bottom>
      <diagonal/>
    </border>
    <border>
      <left style="thin">
        <color theme="0" tint="-0.24994659260841701"/>
      </left>
      <right style="thin">
        <color theme="2" tint="-9.9948118533890809E-2"/>
      </right>
      <top style="thin">
        <color theme="2" tint="-9.9917600024414813E-2"/>
      </top>
      <bottom style="medium">
        <color auto="1"/>
      </bottom>
      <diagonal/>
    </border>
    <border>
      <left style="thin">
        <color theme="2" tint="-9.9948118533890809E-2"/>
      </left>
      <right style="thin">
        <color theme="2" tint="-9.9948118533890809E-2"/>
      </right>
      <top style="thin">
        <color theme="2" tint="-9.9948118533890809E-2"/>
      </top>
      <bottom style="medium">
        <color auto="1"/>
      </bottom>
      <diagonal/>
    </border>
    <border>
      <left style="thin">
        <color theme="2" tint="-9.9948118533890809E-2"/>
      </left>
      <right style="medium">
        <color auto="1"/>
      </right>
      <top style="thin">
        <color theme="2" tint="-9.9948118533890809E-2"/>
      </top>
      <bottom style="medium">
        <color auto="1"/>
      </bottom>
      <diagonal/>
    </border>
    <border>
      <left style="thin">
        <color theme="0" tint="-0.24994659260841701"/>
      </left>
      <right/>
      <top style="thin">
        <color theme="2" tint="-9.9917600024414813E-2"/>
      </top>
      <bottom style="medium">
        <color auto="1"/>
      </bottom>
      <diagonal/>
    </border>
    <border>
      <left/>
      <right/>
      <top style="thin">
        <color theme="2" tint="-9.9917600024414813E-2"/>
      </top>
      <bottom style="medium">
        <color auto="1"/>
      </bottom>
      <diagonal/>
    </border>
    <border>
      <left/>
      <right style="thin">
        <color theme="0" tint="-0.24994659260841701"/>
      </right>
      <top style="thin">
        <color theme="2" tint="-9.9917600024414813E-2"/>
      </top>
      <bottom style="medium">
        <color auto="1"/>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17600024414813E-2"/>
      </left>
      <right/>
      <top/>
      <bottom style="thin">
        <color theme="2" tint="-9.9917600024414813E-2"/>
      </bottom>
      <diagonal/>
    </border>
    <border>
      <left style="thin">
        <color theme="2" tint="-9.9948118533890809E-2"/>
      </left>
      <right style="thin">
        <color theme="2" tint="-9.9917600024414813E-2"/>
      </right>
      <top style="thin">
        <color theme="2" tint="-9.9917600024414813E-2"/>
      </top>
      <bottom/>
      <diagonal/>
    </border>
    <border>
      <left style="thin">
        <color theme="2" tint="-9.9917600024414813E-2"/>
      </left>
      <right style="thin">
        <color theme="2" tint="-9.9917600024414813E-2"/>
      </right>
      <top style="thin">
        <color theme="2" tint="-9.9917600024414813E-2"/>
      </top>
      <bottom/>
      <diagonal/>
    </border>
    <border>
      <left style="thin">
        <color theme="2" tint="-9.9917600024414813E-2"/>
      </left>
      <right style="thin">
        <color theme="0" tint="-0.24994659260841701"/>
      </right>
      <top style="thin">
        <color theme="2" tint="-9.9917600024414813E-2"/>
      </top>
      <bottom/>
      <diagonal/>
    </border>
    <border>
      <left style="thin">
        <color theme="0" tint="-0.24994659260841701"/>
      </left>
      <right/>
      <top/>
      <bottom style="medium">
        <color auto="1"/>
      </bottom>
      <diagonal/>
    </border>
    <border>
      <left/>
      <right style="thin">
        <color theme="0" tint="-0.24994659260841701"/>
      </right>
      <top/>
      <bottom style="medium">
        <color auto="1"/>
      </bottom>
      <diagonal/>
    </border>
    <border>
      <left style="thin">
        <color theme="0" tint="-0.24994659260841701"/>
      </left>
      <right/>
      <top style="thin">
        <color theme="2" tint="-9.9948118533890809E-2"/>
      </top>
      <bottom style="medium">
        <color auto="1"/>
      </bottom>
      <diagonal/>
    </border>
    <border>
      <left/>
      <right/>
      <top style="thin">
        <color theme="2" tint="-9.9948118533890809E-2"/>
      </top>
      <bottom style="medium">
        <color auto="1"/>
      </bottom>
      <diagonal/>
    </border>
    <border>
      <left/>
      <right style="thin">
        <color theme="0" tint="-0.24994659260841701"/>
      </right>
      <top style="thin">
        <color theme="2" tint="-9.9948118533890809E-2"/>
      </top>
      <bottom style="medium">
        <color auto="1"/>
      </bottom>
      <diagonal/>
    </border>
    <border>
      <left style="thin">
        <color theme="2" tint="-9.9948118533890809E-2"/>
      </left>
      <right style="thin">
        <color theme="2" tint="-9.9948118533890809E-2"/>
      </right>
      <top/>
      <bottom/>
      <diagonal/>
    </border>
    <border>
      <left style="thin">
        <color theme="2" tint="-9.9917600024414813E-2"/>
      </left>
      <right style="thin">
        <color theme="2" tint="-9.9917600024414813E-2"/>
      </right>
      <top/>
      <bottom/>
      <diagonal/>
    </border>
    <border>
      <left/>
      <right/>
      <top/>
      <bottom style="thin">
        <color theme="2" tint="-9.9948118533890809E-2"/>
      </bottom>
      <diagonal/>
    </border>
    <border>
      <left style="thin">
        <color theme="2" tint="-9.9948118533890809E-2"/>
      </left>
      <right/>
      <top/>
      <bottom style="thin">
        <color theme="2" tint="-9.9948118533890809E-2"/>
      </bottom>
      <diagonal/>
    </border>
    <border>
      <left/>
      <right/>
      <top/>
      <bottom style="thin">
        <color theme="2" tint="-9.9917600024414813E-2"/>
      </bottom>
      <diagonal/>
    </border>
    <border>
      <left/>
      <right/>
      <top style="medium">
        <color auto="1"/>
      </top>
      <bottom style="thin">
        <color theme="2" tint="-9.9917600024414813E-2"/>
      </bottom>
      <diagonal/>
    </border>
    <border>
      <left/>
      <right/>
      <top style="medium">
        <color auto="1"/>
      </top>
      <bottom style="thin">
        <color theme="2" tint="-0.249977111117893"/>
      </bottom>
      <diagonal/>
    </border>
    <border>
      <left/>
      <right/>
      <top style="thin">
        <color theme="2" tint="-0.249977111117893"/>
      </top>
      <bottom/>
      <diagonal/>
    </border>
    <border>
      <left style="medium">
        <color auto="1"/>
      </left>
      <right/>
      <top style="medium">
        <color auto="1"/>
      </top>
      <bottom style="thin">
        <color theme="2" tint="-0.249977111117893"/>
      </bottom>
      <diagonal/>
    </border>
    <border>
      <left/>
      <right style="medium">
        <color auto="1"/>
      </right>
      <top style="thin">
        <color theme="2" tint="-0.249977111117893"/>
      </top>
      <bottom/>
      <diagonal/>
    </border>
    <border>
      <left style="medium">
        <color auto="1"/>
      </left>
      <right/>
      <top style="thin">
        <color theme="2" tint="-0.249977111117893"/>
      </top>
      <bottom/>
      <diagonal/>
    </border>
    <border>
      <left style="thin">
        <color theme="2" tint="-9.9917600024414813E-2"/>
      </left>
      <right/>
      <top/>
      <bottom/>
      <diagonal/>
    </border>
    <border>
      <left/>
      <right style="thin">
        <color theme="2" tint="-9.9917600024414813E-2"/>
      </right>
      <top/>
      <bottom/>
      <diagonal/>
    </border>
    <border>
      <left style="dotted">
        <color auto="1"/>
      </left>
      <right/>
      <top style="dotted">
        <color auto="1"/>
      </top>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top style="dotted">
        <color auto="1"/>
      </top>
      <bottom style="thin">
        <color theme="2" tint="-9.9948118533890809E-2"/>
      </bottom>
      <diagonal/>
    </border>
    <border>
      <left/>
      <right style="thin">
        <color theme="2" tint="-9.9917600024414813E-2"/>
      </right>
      <top style="dotted">
        <color auto="1"/>
      </top>
      <bottom style="thin">
        <color theme="2" tint="-9.9948118533890809E-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theme="2" tint="-9.9948118533890809E-2"/>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theme="2" tint="-9.9917600024414813E-2"/>
      </left>
      <right/>
      <top/>
      <bottom style="thin">
        <color theme="2" tint="-9.9948118533890809E-2"/>
      </bottom>
      <diagonal/>
    </border>
    <border>
      <left style="medium">
        <color auto="1"/>
      </left>
      <right style="dotted">
        <color auto="1"/>
      </right>
      <top/>
      <bottom/>
      <diagonal/>
    </border>
    <border>
      <left/>
      <right/>
      <top/>
      <bottom style="thin">
        <color theme="2" tint="-0.249977111117893"/>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70">
    <xf numFmtId="0" fontId="0" fillId="0" borderId="0"/>
    <xf numFmtId="44" fontId="4" fillId="0" borderId="0" applyFont="0" applyFill="0" applyBorder="0" applyAlignment="0" applyProtection="0"/>
    <xf numFmtId="0" fontId="5" fillId="0" borderId="0" applyNumberFormat="0" applyFill="0" applyBorder="0" applyAlignment="0" applyProtection="0"/>
    <xf numFmtId="9" fontId="4" fillId="0" borderId="0" applyFont="0" applyFill="0" applyBorder="0" applyAlignment="0" applyProtection="0"/>
    <xf numFmtId="0" fontId="23" fillId="0" borderId="0"/>
    <xf numFmtId="0" fontId="34" fillId="0" borderId="0" applyNumberFormat="0" applyFill="0" applyBorder="0" applyAlignment="0" applyProtection="0"/>
    <xf numFmtId="0" fontId="35" fillId="0" borderId="0"/>
    <xf numFmtId="0" fontId="36" fillId="0" borderId="0"/>
    <xf numFmtId="0" fontId="4" fillId="0" borderId="0"/>
    <xf numFmtId="9" fontId="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4" fillId="0" borderId="0" applyNumberFormat="0" applyFill="0" applyBorder="0" applyAlignment="0" applyProtection="0"/>
    <xf numFmtId="9" fontId="35" fillId="0" borderId="0" applyFill="0" applyBorder="0" applyAlignment="0" applyProtection="0"/>
    <xf numFmtId="43" fontId="35" fillId="0" borderId="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7" fillId="0" borderId="0"/>
    <xf numFmtId="9" fontId="47"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4" fillId="0" borderId="0" applyFont="0" applyFill="0" applyBorder="0" applyAlignment="0" applyProtection="0"/>
  </cellStyleXfs>
  <cellXfs count="1035">
    <xf numFmtId="0" fontId="0" fillId="0" borderId="0" xfId="0"/>
    <xf numFmtId="0" fontId="7" fillId="0" borderId="0" xfId="0" applyFont="1"/>
    <xf numFmtId="9" fontId="9" fillId="4" borderId="0" xfId="0" applyNumberFormat="1" applyFont="1" applyFill="1" applyBorder="1"/>
    <xf numFmtId="0" fontId="9" fillId="4" borderId="0" xfId="0" applyFont="1" applyFill="1" applyBorder="1"/>
    <xf numFmtId="10" fontId="7" fillId="4" borderId="0" xfId="0" applyNumberFormat="1" applyFont="1" applyFill="1" applyBorder="1"/>
    <xf numFmtId="9" fontId="7" fillId="4" borderId="0" xfId="0" applyNumberFormat="1" applyFont="1" applyFill="1" applyBorder="1"/>
    <xf numFmtId="0" fontId="7" fillId="4" borderId="0" xfId="0" applyFont="1" applyFill="1" applyBorder="1"/>
    <xf numFmtId="0" fontId="7" fillId="4" borderId="1" xfId="0" applyFont="1" applyFill="1" applyBorder="1"/>
    <xf numFmtId="0" fontId="7" fillId="4" borderId="4" xfId="0" applyFont="1" applyFill="1" applyBorder="1"/>
    <xf numFmtId="0" fontId="7" fillId="4" borderId="5" xfId="0" applyFont="1" applyFill="1" applyBorder="1"/>
    <xf numFmtId="0" fontId="7" fillId="4" borderId="6" xfId="0" applyFont="1" applyFill="1" applyBorder="1"/>
    <xf numFmtId="0" fontId="7" fillId="4" borderId="7" xfId="0" applyFont="1" applyFill="1" applyBorder="1"/>
    <xf numFmtId="0" fontId="7" fillId="4" borderId="8" xfId="0" applyFont="1" applyFill="1" applyBorder="1"/>
    <xf numFmtId="9" fontId="7" fillId="5" borderId="14" xfId="0" applyNumberFormat="1" applyFont="1" applyFill="1" applyBorder="1" applyAlignment="1">
      <alignment horizontal="center" vertical="center"/>
    </xf>
    <xf numFmtId="0" fontId="7" fillId="4" borderId="0" xfId="0" applyFont="1" applyFill="1"/>
    <xf numFmtId="0" fontId="7" fillId="4" borderId="10" xfId="0" applyFont="1" applyFill="1" applyBorder="1"/>
    <xf numFmtId="0" fontId="10" fillId="0" borderId="15" xfId="0" applyFont="1" applyFill="1" applyBorder="1" applyAlignment="1">
      <alignment vertical="center"/>
    </xf>
    <xf numFmtId="0" fontId="11" fillId="4" borderId="0" xfId="0" applyFont="1" applyFill="1" applyAlignment="1">
      <alignment vertical="center"/>
    </xf>
    <xf numFmtId="0" fontId="8" fillId="8" borderId="16" xfId="0" applyFont="1" applyFill="1" applyBorder="1" applyAlignment="1">
      <alignment horizontal="center" vertical="center" wrapText="1"/>
    </xf>
    <xf numFmtId="0" fontId="7" fillId="8" borderId="17" xfId="0" applyFont="1" applyFill="1" applyBorder="1" applyAlignment="1">
      <alignment wrapText="1"/>
    </xf>
    <xf numFmtId="0" fontId="7" fillId="8" borderId="18" xfId="0" applyFont="1" applyFill="1" applyBorder="1" applyAlignment="1"/>
    <xf numFmtId="0" fontId="13" fillId="4" borderId="0" xfId="0" applyFont="1" applyFill="1" applyBorder="1" applyAlignment="1">
      <alignment horizontal="right" vertical="center"/>
    </xf>
    <xf numFmtId="0" fontId="14" fillId="10" borderId="2" xfId="0" applyFont="1" applyFill="1" applyBorder="1" applyAlignment="1">
      <alignment horizontal="centerContinuous"/>
    </xf>
    <xf numFmtId="0" fontId="8" fillId="10" borderId="2" xfId="0" applyFont="1" applyFill="1" applyBorder="1" applyAlignment="1">
      <alignment horizontal="centerContinuous"/>
    </xf>
    <xf numFmtId="0" fontId="15" fillId="4" borderId="0" xfId="0" applyFont="1" applyFill="1"/>
    <xf numFmtId="0" fontId="7" fillId="12" borderId="19" xfId="0" applyFont="1" applyFill="1" applyBorder="1" applyAlignment="1">
      <alignment horizontal="center" vertical="center"/>
    </xf>
    <xf numFmtId="0" fontId="11" fillId="4" borderId="1" xfId="0" applyFont="1" applyFill="1" applyBorder="1" applyAlignment="1">
      <alignment vertical="center"/>
    </xf>
    <xf numFmtId="0" fontId="13" fillId="15" borderId="2" xfId="0" applyFont="1" applyFill="1" applyBorder="1"/>
    <xf numFmtId="0" fontId="19" fillId="15" borderId="2" xfId="0" applyFont="1" applyFill="1" applyBorder="1"/>
    <xf numFmtId="10" fontId="19" fillId="16" borderId="2" xfId="0" applyNumberFormat="1" applyFont="1" applyFill="1" applyBorder="1" applyAlignment="1">
      <alignment horizontal="right"/>
    </xf>
    <xf numFmtId="0" fontId="19" fillId="4" borderId="2" xfId="0" applyFont="1" applyFill="1" applyBorder="1"/>
    <xf numFmtId="0" fontId="19" fillId="4" borderId="7" xfId="0" applyFont="1" applyFill="1" applyBorder="1"/>
    <xf numFmtId="0" fontId="13" fillId="15" borderId="0" xfId="0" applyFont="1" applyFill="1" applyBorder="1"/>
    <xf numFmtId="0" fontId="19" fillId="15" borderId="0" xfId="0" applyFont="1" applyFill="1" applyBorder="1"/>
    <xf numFmtId="10" fontId="19" fillId="16" borderId="0" xfId="0" applyNumberFormat="1" applyFont="1" applyFill="1" applyBorder="1" applyAlignment="1">
      <alignment horizontal="right"/>
    </xf>
    <xf numFmtId="0" fontId="19" fillId="4" borderId="0" xfId="0" applyFont="1" applyFill="1" applyBorder="1"/>
    <xf numFmtId="0" fontId="19" fillId="4" borderId="8" xfId="0" applyFont="1" applyFill="1" applyBorder="1"/>
    <xf numFmtId="0" fontId="14" fillId="14" borderId="10" xfId="0" applyFont="1" applyFill="1" applyBorder="1" applyAlignment="1">
      <alignment horizontal="left" vertical="top"/>
    </xf>
    <xf numFmtId="0" fontId="19" fillId="14" borderId="0" xfId="0" applyFont="1" applyFill="1" applyBorder="1"/>
    <xf numFmtId="164" fontId="19" fillId="16" borderId="0" xfId="0" applyNumberFormat="1" applyFont="1" applyFill="1" applyBorder="1" applyAlignment="1">
      <alignment horizontal="right"/>
    </xf>
    <xf numFmtId="0" fontId="14" fillId="14" borderId="10" xfId="0" applyFont="1" applyFill="1" applyBorder="1" applyAlignment="1">
      <alignment horizontal="right"/>
    </xf>
    <xf numFmtId="2" fontId="19" fillId="16" borderId="0" xfId="0" applyNumberFormat="1" applyFont="1" applyFill="1" applyBorder="1" applyAlignment="1">
      <alignment horizontal="center"/>
    </xf>
    <xf numFmtId="0" fontId="14" fillId="14" borderId="0" xfId="0" applyFont="1" applyFill="1" applyBorder="1"/>
    <xf numFmtId="0" fontId="19" fillId="14" borderId="8" xfId="0" applyFont="1" applyFill="1" applyBorder="1"/>
    <xf numFmtId="0" fontId="7" fillId="0" borderId="0" xfId="0" applyFont="1" applyBorder="1"/>
    <xf numFmtId="0" fontId="9" fillId="4" borderId="2" xfId="0" applyFont="1" applyFill="1" applyBorder="1" applyAlignment="1">
      <alignment horizontal="center"/>
    </xf>
    <xf numFmtId="0" fontId="8" fillId="4" borderId="2" xfId="0" applyFont="1" applyFill="1" applyBorder="1" applyAlignment="1">
      <alignment horizontal="center"/>
    </xf>
    <xf numFmtId="0" fontId="9" fillId="4" borderId="0" xfId="0" applyFont="1" applyFill="1" applyBorder="1" applyAlignment="1">
      <alignment horizontal="center"/>
    </xf>
    <xf numFmtId="0" fontId="8" fillId="4" borderId="5" xfId="0" applyFont="1" applyFill="1" applyBorder="1" applyAlignment="1">
      <alignment vertical="center" wrapText="1"/>
    </xf>
    <xf numFmtId="0" fontId="7" fillId="4" borderId="4" xfId="0" applyFont="1" applyFill="1" applyBorder="1" applyAlignment="1">
      <alignment vertical="center"/>
    </xf>
    <xf numFmtId="0" fontId="20" fillId="4" borderId="0" xfId="0" applyFont="1" applyFill="1"/>
    <xf numFmtId="0" fontId="5" fillId="0" borderId="0" xfId="2"/>
    <xf numFmtId="0" fontId="24" fillId="0" borderId="0" xfId="0" applyFont="1" applyFill="1" applyAlignment="1">
      <alignment horizontal="center"/>
    </xf>
    <xf numFmtId="0" fontId="0" fillId="0" borderId="0" xfId="0" applyFont="1" applyAlignment="1">
      <alignment wrapText="1"/>
    </xf>
    <xf numFmtId="0" fontId="0" fillId="0" borderId="0" xfId="0" applyFont="1"/>
    <xf numFmtId="10" fontId="0" fillId="0" borderId="0" xfId="0" applyNumberFormat="1" applyFont="1" applyFill="1"/>
    <xf numFmtId="0" fontId="0" fillId="0" borderId="0" xfId="0" applyFont="1" applyFill="1"/>
    <xf numFmtId="0" fontId="27" fillId="0" borderId="0" xfId="4" applyFont="1" applyAlignment="1">
      <alignment wrapText="1"/>
    </xf>
    <xf numFmtId="0" fontId="0" fillId="0" borderId="0" xfId="0" applyNumberFormat="1" applyFont="1" applyFill="1"/>
    <xf numFmtId="2" fontId="0" fillId="0" borderId="0" xfId="0" applyNumberFormat="1" applyFont="1" applyFill="1"/>
    <xf numFmtId="9" fontId="0" fillId="0" borderId="0" xfId="0" applyNumberFormat="1" applyFont="1" applyFill="1"/>
    <xf numFmtId="0" fontId="0" fillId="0" borderId="0" xfId="0" applyFont="1" applyFill="1" applyBorder="1"/>
    <xf numFmtId="0" fontId="0" fillId="0" borderId="0" xfId="0" applyFont="1" applyFill="1" applyAlignment="1">
      <alignment horizontal="left" vertical="top" wrapText="1"/>
    </xf>
    <xf numFmtId="0" fontId="0" fillId="0" borderId="0" xfId="0" applyFont="1" applyFill="1" applyAlignment="1">
      <alignment vertical="top" wrapText="1"/>
    </xf>
    <xf numFmtId="0" fontId="6" fillId="0" borderId="0" xfId="0" applyFont="1" applyFill="1" applyAlignment="1">
      <alignment vertical="top" wrapText="1"/>
    </xf>
    <xf numFmtId="0" fontId="0" fillId="0" borderId="0" xfId="0" applyFont="1" applyAlignment="1">
      <alignment vertical="top" wrapText="1"/>
    </xf>
    <xf numFmtId="0" fontId="0" fillId="0" borderId="0" xfId="0" applyFont="1" applyFill="1" applyAlignment="1">
      <alignment horizontal="right"/>
    </xf>
    <xf numFmtId="0" fontId="18" fillId="4" borderId="0" xfId="0" applyFont="1" applyFill="1" applyBorder="1" applyAlignment="1">
      <alignment vertical="center"/>
    </xf>
    <xf numFmtId="0" fontId="0" fillId="0" borderId="0" xfId="0" applyFont="1" applyFill="1" applyAlignment="1">
      <alignment wrapText="1"/>
    </xf>
    <xf numFmtId="0" fontId="0" fillId="0" borderId="0" xfId="0" applyFont="1" applyFill="1" applyAlignment="1">
      <alignment horizontal="left" wrapText="1"/>
    </xf>
    <xf numFmtId="164" fontId="0" fillId="0" borderId="0" xfId="0" applyNumberFormat="1"/>
    <xf numFmtId="0" fontId="0" fillId="0" borderId="0" xfId="0" applyNumberFormat="1"/>
    <xf numFmtId="0" fontId="26" fillId="0" borderId="0" xfId="0" applyFont="1" applyFill="1" applyAlignment="1">
      <alignment vertical="top" wrapText="1"/>
    </xf>
    <xf numFmtId="0" fontId="27" fillId="0" borderId="0" xfId="4" applyFont="1" applyFill="1" applyAlignment="1">
      <alignment vertical="top" wrapText="1"/>
    </xf>
    <xf numFmtId="0" fontId="26" fillId="0" borderId="0" xfId="0" applyFont="1" applyFill="1" applyAlignment="1">
      <alignment horizontal="left" vertical="top" wrapText="1"/>
    </xf>
    <xf numFmtId="0" fontId="27" fillId="0" borderId="0" xfId="0" applyFont="1" applyFill="1"/>
    <xf numFmtId="10" fontId="7" fillId="4" borderId="0" xfId="3" applyNumberFormat="1" applyFont="1" applyFill="1" applyBorder="1" applyAlignment="1">
      <alignment horizontal="center" vertical="center"/>
    </xf>
    <xf numFmtId="164" fontId="7" fillId="12" borderId="30" xfId="1" applyNumberFormat="1" applyFont="1" applyFill="1" applyBorder="1" applyAlignment="1">
      <alignment horizontal="center" vertical="center"/>
    </xf>
    <xf numFmtId="0" fontId="8" fillId="8" borderId="33" xfId="0" applyFont="1" applyFill="1" applyBorder="1" applyAlignment="1">
      <alignment horizontal="center" vertical="center" wrapText="1"/>
    </xf>
    <xf numFmtId="164" fontId="7" fillId="12" borderId="35" xfId="1" applyNumberFormat="1" applyFont="1" applyFill="1" applyBorder="1" applyAlignment="1">
      <alignment horizontal="center" vertical="center"/>
    </xf>
    <xf numFmtId="0" fontId="0" fillId="0" borderId="0" xfId="0" applyFont="1" applyAlignment="1"/>
    <xf numFmtId="0" fontId="0" fillId="0" borderId="0" xfId="0" applyFont="1" applyAlignment="1">
      <alignment vertical="top"/>
    </xf>
    <xf numFmtId="0" fontId="0" fillId="0" borderId="0" xfId="0" applyFill="1" applyBorder="1"/>
    <xf numFmtId="0" fontId="6" fillId="0" borderId="0" xfId="0" applyFont="1"/>
    <xf numFmtId="0" fontId="8" fillId="8" borderId="36" xfId="0" applyFont="1" applyFill="1" applyBorder="1" applyAlignment="1">
      <alignment horizontal="center" vertical="center" wrapText="1"/>
    </xf>
    <xf numFmtId="9" fontId="9" fillId="0" borderId="0" xfId="0" applyNumberFormat="1" applyFont="1" applyFill="1" applyBorder="1"/>
    <xf numFmtId="9" fontId="7" fillId="0" borderId="0" xfId="0" applyNumberFormat="1" applyFont="1" applyFill="1" applyBorder="1"/>
    <xf numFmtId="0" fontId="17"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2" fontId="7" fillId="4" borderId="0" xfId="0" applyNumberFormat="1" applyFont="1" applyFill="1" applyBorder="1" applyAlignment="1">
      <alignment horizontal="center" vertical="center"/>
    </xf>
    <xf numFmtId="0" fontId="0" fillId="4" borderId="0" xfId="0" applyFill="1"/>
    <xf numFmtId="0" fontId="13" fillId="15" borderId="1" xfId="0" applyFont="1" applyFill="1" applyBorder="1"/>
    <xf numFmtId="0" fontId="19" fillId="15" borderId="1" xfId="0" applyFont="1" applyFill="1" applyBorder="1"/>
    <xf numFmtId="164" fontId="19" fillId="16" borderId="1" xfId="0" applyNumberFormat="1" applyFont="1" applyFill="1" applyBorder="1" applyAlignment="1">
      <alignment horizontal="right"/>
    </xf>
    <xf numFmtId="0" fontId="8" fillId="3" borderId="40" xfId="0" applyFont="1" applyFill="1" applyBorder="1" applyAlignment="1">
      <alignment horizontal="center" vertical="center" wrapText="1"/>
    </xf>
    <xf numFmtId="9" fontId="7" fillId="5" borderId="41" xfId="0" applyNumberFormat="1" applyFont="1" applyFill="1" applyBorder="1" applyAlignment="1">
      <alignment horizontal="center" vertical="center"/>
    </xf>
    <xf numFmtId="0" fontId="8" fillId="4" borderId="10" xfId="0" applyFont="1" applyFill="1" applyBorder="1" applyAlignment="1">
      <alignment horizontal="center" vertical="center" wrapText="1"/>
    </xf>
    <xf numFmtId="166" fontId="7" fillId="4" borderId="0" xfId="0" applyNumberFormat="1" applyFont="1" applyFill="1" applyBorder="1" applyAlignment="1">
      <alignment horizontal="center"/>
    </xf>
    <xf numFmtId="0" fontId="7" fillId="11" borderId="0" xfId="0" applyFont="1" applyFill="1" applyBorder="1" applyAlignment="1">
      <alignment horizontal="center" vertical="center"/>
    </xf>
    <xf numFmtId="0" fontId="8" fillId="3" borderId="44" xfId="0" applyFont="1" applyFill="1" applyBorder="1" applyAlignment="1">
      <alignment horizontal="center" vertical="center" wrapText="1"/>
    </xf>
    <xf numFmtId="0" fontId="7" fillId="4" borderId="45" xfId="0" applyFont="1" applyFill="1" applyBorder="1"/>
    <xf numFmtId="0" fontId="8" fillId="6" borderId="47" xfId="0" applyFont="1" applyFill="1" applyBorder="1" applyAlignment="1">
      <alignment vertical="center" wrapText="1"/>
    </xf>
    <xf numFmtId="9" fontId="7" fillId="7" borderId="48" xfId="3" applyFont="1" applyFill="1" applyBorder="1" applyAlignment="1">
      <alignment horizontal="center" vertical="center"/>
    </xf>
    <xf numFmtId="164" fontId="7" fillId="7" borderId="49" xfId="0" applyNumberFormat="1" applyFont="1" applyFill="1" applyBorder="1" applyAlignment="1">
      <alignment horizontal="center" vertical="center"/>
    </xf>
    <xf numFmtId="164" fontId="7" fillId="7" borderId="50" xfId="0" applyNumberFormat="1" applyFont="1" applyFill="1" applyBorder="1" applyAlignment="1">
      <alignment horizontal="center" vertical="center"/>
    </xf>
    <xf numFmtId="0" fontId="8" fillId="6" borderId="5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3" borderId="52" xfId="0" applyFont="1" applyFill="1" applyBorder="1" applyAlignment="1">
      <alignment horizontal="center" vertical="center" wrapText="1"/>
    </xf>
    <xf numFmtId="9" fontId="7" fillId="5" borderId="53" xfId="0" applyNumberFormat="1" applyFont="1" applyFill="1" applyBorder="1" applyAlignment="1">
      <alignment horizontal="center" vertical="center"/>
    </xf>
    <xf numFmtId="0" fontId="8" fillId="6" borderId="29" xfId="0" applyFont="1" applyFill="1" applyBorder="1" applyAlignment="1">
      <alignment horizontal="center" vertical="center" wrapText="1"/>
    </xf>
    <xf numFmtId="9" fontId="7" fillId="7" borderId="28" xfId="3" applyFont="1" applyFill="1" applyBorder="1" applyAlignment="1">
      <alignment horizontal="center" vertical="center"/>
    </xf>
    <xf numFmtId="0" fontId="8" fillId="3" borderId="54" xfId="0" applyFont="1" applyFill="1" applyBorder="1" applyAlignment="1">
      <alignment horizontal="center" vertical="center" wrapText="1"/>
    </xf>
    <xf numFmtId="165" fontId="7" fillId="5" borderId="21" xfId="0" applyNumberFormat="1" applyFont="1" applyFill="1" applyBorder="1" applyAlignment="1">
      <alignment horizontal="center" vertical="center"/>
    </xf>
    <xf numFmtId="0" fontId="14" fillId="4" borderId="3" xfId="0" applyFont="1" applyFill="1" applyBorder="1" applyAlignment="1">
      <alignment vertical="center" wrapText="1"/>
    </xf>
    <xf numFmtId="0" fontId="8" fillId="4" borderId="1" xfId="0" applyFont="1" applyFill="1" applyBorder="1" applyAlignment="1">
      <alignment vertical="center" wrapText="1"/>
    </xf>
    <xf numFmtId="165" fontId="7" fillId="4" borderId="1" xfId="0" applyNumberFormat="1" applyFont="1" applyFill="1" applyBorder="1" applyAlignment="1">
      <alignment vertical="center"/>
    </xf>
    <xf numFmtId="164" fontId="7" fillId="4" borderId="9" xfId="1" applyNumberFormat="1" applyFont="1" applyFill="1" applyBorder="1" applyAlignment="1">
      <alignment vertical="center"/>
    </xf>
    <xf numFmtId="9" fontId="7" fillId="7" borderId="55" xfId="3" applyFont="1" applyFill="1" applyBorder="1" applyAlignment="1">
      <alignment horizontal="center" vertical="center"/>
    </xf>
    <xf numFmtId="0" fontId="8" fillId="6" borderId="56" xfId="0" applyFont="1" applyFill="1" applyBorder="1" applyAlignment="1">
      <alignment horizontal="center" vertical="center" wrapText="1"/>
    </xf>
    <xf numFmtId="165" fontId="7" fillId="7" borderId="57" xfId="0" applyNumberFormat="1" applyFont="1" applyFill="1" applyBorder="1" applyAlignment="1">
      <alignment horizontal="center" vertical="center"/>
    </xf>
    <xf numFmtId="164" fontId="7" fillId="4" borderId="0" xfId="0" applyNumberFormat="1" applyFont="1" applyFill="1"/>
    <xf numFmtId="0" fontId="8" fillId="6" borderId="58" xfId="0" applyFont="1" applyFill="1" applyBorder="1" applyAlignment="1">
      <alignment horizontal="center" vertical="center" wrapText="1"/>
    </xf>
    <xf numFmtId="0" fontId="8" fillId="3" borderId="20" xfId="0" applyFont="1" applyFill="1" applyBorder="1" applyAlignment="1">
      <alignment horizontal="center" vertical="center" wrapText="1"/>
    </xf>
    <xf numFmtId="9" fontId="7" fillId="5" borderId="21" xfId="0" applyNumberFormat="1" applyFont="1" applyFill="1" applyBorder="1" applyAlignment="1">
      <alignment horizontal="center" vertical="center"/>
    </xf>
    <xf numFmtId="2" fontId="0" fillId="0" borderId="0" xfId="3" applyNumberFormat="1" applyFont="1" applyAlignment="1">
      <alignment horizontal="right"/>
    </xf>
    <xf numFmtId="9" fontId="0" fillId="0" borderId="0" xfId="0" applyNumberFormat="1" applyFont="1"/>
    <xf numFmtId="0" fontId="8" fillId="4" borderId="2" xfId="0" applyFont="1" applyFill="1" applyBorder="1" applyAlignment="1">
      <alignment horizontal="centerContinuous"/>
    </xf>
    <xf numFmtId="10" fontId="7" fillId="4" borderId="0" xfId="0" applyNumberFormat="1" applyFont="1" applyFill="1" applyBorder="1" applyAlignment="1">
      <alignment horizontal="center" vertical="center"/>
    </xf>
    <xf numFmtId="9" fontId="7" fillId="4" borderId="0" xfId="0" applyNumberFormat="1" applyFont="1" applyFill="1" applyBorder="1" applyAlignment="1">
      <alignment horizontal="center" vertical="center"/>
    </xf>
    <xf numFmtId="9" fontId="7" fillId="4" borderId="0" xfId="3" applyFont="1" applyFill="1" applyBorder="1" applyAlignment="1">
      <alignment horizontal="center" vertical="center"/>
    </xf>
    <xf numFmtId="164" fontId="7" fillId="4" borderId="0" xfId="0" applyNumberFormat="1" applyFont="1" applyFill="1" applyBorder="1" applyAlignment="1">
      <alignment horizontal="center" vertical="center"/>
    </xf>
    <xf numFmtId="0" fontId="7" fillId="4" borderId="0" xfId="0" applyFont="1" applyFill="1" applyBorder="1" applyAlignment="1">
      <alignment vertical="top"/>
    </xf>
    <xf numFmtId="0" fontId="8" fillId="4" borderId="1" xfId="0" applyFont="1" applyFill="1" applyBorder="1"/>
    <xf numFmtId="9" fontId="7" fillId="12" borderId="37" xfId="3" applyFont="1" applyFill="1" applyBorder="1" applyAlignment="1">
      <alignment horizontal="center" vertical="center"/>
    </xf>
    <xf numFmtId="0" fontId="8" fillId="3" borderId="62" xfId="0" applyFont="1" applyFill="1" applyBorder="1" applyAlignment="1">
      <alignment horizontal="center" vertical="center" wrapText="1"/>
    </xf>
    <xf numFmtId="10" fontId="7" fillId="5" borderId="63" xfId="0" applyNumberFormat="1" applyFont="1" applyFill="1" applyBorder="1" applyAlignment="1">
      <alignment horizontal="center" vertical="center"/>
    </xf>
    <xf numFmtId="0" fontId="8" fillId="3" borderId="56" xfId="0" applyFont="1" applyFill="1" applyBorder="1" applyAlignment="1">
      <alignment horizontal="center" vertical="center" wrapText="1"/>
    </xf>
    <xf numFmtId="9" fontId="7" fillId="5" borderId="55" xfId="0" applyNumberFormat="1" applyFont="1" applyFill="1" applyBorder="1" applyAlignment="1">
      <alignment horizontal="center" vertical="center"/>
    </xf>
    <xf numFmtId="0" fontId="8" fillId="3" borderId="64" xfId="0" applyFont="1" applyFill="1" applyBorder="1" applyAlignment="1">
      <alignment horizontal="center" vertical="center" wrapText="1"/>
    </xf>
    <xf numFmtId="9" fontId="7" fillId="5" borderId="65" xfId="0" applyNumberFormat="1" applyFont="1" applyFill="1" applyBorder="1" applyAlignment="1">
      <alignment horizontal="center" vertical="center"/>
    </xf>
    <xf numFmtId="164" fontId="7" fillId="5" borderId="63" xfId="0" applyNumberFormat="1" applyFont="1" applyFill="1" applyBorder="1" applyAlignment="1">
      <alignment horizontal="center" vertical="center"/>
    </xf>
    <xf numFmtId="0" fontId="7" fillId="4" borderId="9" xfId="0" applyFont="1" applyFill="1" applyBorder="1"/>
    <xf numFmtId="164" fontId="0" fillId="4" borderId="0" xfId="0" applyNumberFormat="1" applyFill="1"/>
    <xf numFmtId="0" fontId="0" fillId="4" borderId="0" xfId="0" applyNumberFormat="1" applyFill="1"/>
    <xf numFmtId="0" fontId="7" fillId="12" borderId="30" xfId="1" applyNumberFormat="1" applyFont="1" applyFill="1" applyBorder="1" applyAlignment="1">
      <alignment horizontal="center" vertical="center"/>
    </xf>
    <xf numFmtId="0" fontId="7" fillId="9" borderId="69" xfId="0" applyFont="1" applyFill="1" applyBorder="1" applyAlignment="1">
      <alignment horizontal="left" vertical="top" wrapText="1"/>
    </xf>
    <xf numFmtId="0" fontId="7" fillId="9" borderId="70" xfId="0" applyFont="1" applyFill="1" applyBorder="1" applyAlignment="1">
      <alignment horizontal="left" vertical="top" wrapText="1"/>
    </xf>
    <xf numFmtId="0" fontId="12" fillId="9" borderId="71" xfId="2" applyFont="1" applyFill="1" applyBorder="1" applyAlignment="1">
      <alignment horizontal="left" vertical="top" wrapText="1"/>
    </xf>
    <xf numFmtId="0" fontId="8" fillId="4" borderId="6" xfId="0" applyFont="1" applyFill="1" applyBorder="1" applyAlignment="1">
      <alignment vertical="center" wrapText="1"/>
    </xf>
    <xf numFmtId="164" fontId="7" fillId="11" borderId="8" xfId="0" applyNumberFormat="1" applyFont="1" applyFill="1" applyBorder="1" applyAlignment="1">
      <alignment horizontal="center" vertical="center"/>
    </xf>
    <xf numFmtId="0" fontId="17" fillId="4" borderId="0" xfId="0" applyFont="1" applyFill="1" applyBorder="1" applyAlignment="1"/>
    <xf numFmtId="164" fontId="0" fillId="0" borderId="0" xfId="0" applyNumberFormat="1" applyFont="1" applyFill="1"/>
    <xf numFmtId="9" fontId="0" fillId="0" borderId="0" xfId="3" applyFont="1" applyFill="1"/>
    <xf numFmtId="165" fontId="0" fillId="0" borderId="0" xfId="3" applyNumberFormat="1" applyFont="1" applyFill="1"/>
    <xf numFmtId="165" fontId="0" fillId="0" borderId="0" xfId="0" applyNumberFormat="1" applyFont="1" applyFill="1"/>
    <xf numFmtId="0" fontId="13" fillId="15" borderId="76" xfId="0" applyFont="1" applyFill="1" applyBorder="1" applyAlignment="1">
      <alignment horizontal="center" vertical="center"/>
    </xf>
    <xf numFmtId="0" fontId="13" fillId="15" borderId="77" xfId="0" applyFont="1" applyFill="1" applyBorder="1" applyAlignment="1">
      <alignment horizontal="center" vertical="center"/>
    </xf>
    <xf numFmtId="0" fontId="13" fillId="15" borderId="79" xfId="0" applyFont="1" applyFill="1" applyBorder="1" applyAlignment="1">
      <alignment horizontal="center" vertical="center"/>
    </xf>
    <xf numFmtId="0" fontId="13" fillId="15" borderId="80" xfId="0" applyFont="1" applyFill="1" applyBorder="1" applyAlignment="1">
      <alignment horizontal="center" vertical="center"/>
    </xf>
    <xf numFmtId="0" fontId="13" fillId="15" borderId="81" xfId="0" applyFont="1" applyFill="1" applyBorder="1" applyAlignment="1">
      <alignment horizontal="center" vertical="center"/>
    </xf>
    <xf numFmtId="0" fontId="13" fillId="4" borderId="0" xfId="0" applyFont="1" applyFill="1" applyAlignment="1">
      <alignment vertical="top" wrapText="1"/>
    </xf>
    <xf numFmtId="0" fontId="21" fillId="4" borderId="1" xfId="0" applyFont="1" applyFill="1" applyBorder="1" applyAlignment="1">
      <alignment vertical="center"/>
    </xf>
    <xf numFmtId="0" fontId="21" fillId="4" borderId="0" xfId="0" applyFont="1" applyFill="1" applyBorder="1" applyAlignment="1">
      <alignment vertical="center"/>
    </xf>
    <xf numFmtId="169" fontId="0" fillId="0" borderId="0" xfId="0" applyNumberFormat="1" applyFont="1" applyFill="1"/>
    <xf numFmtId="171" fontId="0" fillId="0" borderId="0" xfId="0" applyNumberFormat="1" applyFont="1" applyFill="1" applyAlignment="1"/>
    <xf numFmtId="171" fontId="0" fillId="0" borderId="0" xfId="0" applyNumberFormat="1" applyFont="1" applyFill="1"/>
    <xf numFmtId="171" fontId="0" fillId="0" borderId="0" xfId="3" applyNumberFormat="1" applyFont="1" applyFill="1"/>
    <xf numFmtId="1" fontId="0" fillId="0" borderId="0" xfId="0" applyNumberFormat="1" applyFont="1" applyFill="1"/>
    <xf numFmtId="8" fontId="0" fillId="0" borderId="0" xfId="0" applyNumberFormat="1" applyFont="1" applyFill="1"/>
    <xf numFmtId="0" fontId="5" fillId="0" borderId="0" xfId="2" applyAlignment="1">
      <alignment vertical="top" wrapText="1"/>
    </xf>
    <xf numFmtId="0" fontId="0" fillId="0" borderId="0" xfId="0" applyAlignment="1">
      <alignment vertical="top" wrapText="1"/>
    </xf>
    <xf numFmtId="0" fontId="24" fillId="0" borderId="0" xfId="0" applyFont="1"/>
    <xf numFmtId="0" fontId="31" fillId="0" borderId="0" xfId="0" applyFont="1" applyFill="1"/>
    <xf numFmtId="0" fontId="0" fillId="19" borderId="0" xfId="0" applyFont="1" applyFill="1" applyAlignment="1">
      <alignment horizontal="left" vertical="top" wrapText="1"/>
    </xf>
    <xf numFmtId="165" fontId="27" fillId="0" borderId="0" xfId="0" applyNumberFormat="1" applyFont="1" applyFill="1"/>
    <xf numFmtId="6" fontId="0" fillId="0" borderId="0" xfId="0" applyNumberFormat="1" applyFont="1" applyFill="1"/>
    <xf numFmtId="0" fontId="0" fillId="0" borderId="0" xfId="0" applyFill="1"/>
    <xf numFmtId="9" fontId="0" fillId="0" borderId="0" xfId="0" applyNumberFormat="1"/>
    <xf numFmtId="0" fontId="0" fillId="0" borderId="0" xfId="0" applyAlignment="1"/>
    <xf numFmtId="0" fontId="6" fillId="0" borderId="0" xfId="0" applyFont="1" applyAlignment="1"/>
    <xf numFmtId="8" fontId="0" fillId="0" borderId="0" xfId="0" applyNumberFormat="1"/>
    <xf numFmtId="10" fontId="0" fillId="0" borderId="0" xfId="0" applyNumberFormat="1"/>
    <xf numFmtId="0" fontId="13" fillId="21" borderId="77" xfId="0" applyFont="1" applyFill="1" applyBorder="1" applyAlignment="1">
      <alignment horizontal="center" vertical="center"/>
    </xf>
    <xf numFmtId="0" fontId="0" fillId="0" borderId="0" xfId="0" applyFont="1" applyAlignment="1">
      <alignment horizontal="left"/>
    </xf>
    <xf numFmtId="2" fontId="4" fillId="0" borderId="0" xfId="3" applyNumberFormat="1" applyFont="1" applyAlignment="1">
      <alignment horizontal="right"/>
    </xf>
    <xf numFmtId="0" fontId="0" fillId="0" borderId="0" xfId="0" applyNumberFormat="1" applyFont="1"/>
    <xf numFmtId="8" fontId="0" fillId="0" borderId="0" xfId="0" applyNumberFormat="1" applyFont="1"/>
    <xf numFmtId="0" fontId="26" fillId="0" borderId="0" xfId="0" applyFont="1" applyAlignment="1"/>
    <xf numFmtId="0" fontId="27" fillId="0" borderId="0" xfId="4" applyFont="1" applyAlignment="1"/>
    <xf numFmtId="0" fontId="0" fillId="0" borderId="0" xfId="0" applyFont="1" applyFill="1" applyAlignment="1">
      <alignment horizontal="left"/>
    </xf>
    <xf numFmtId="0" fontId="0" fillId="0" borderId="0" xfId="0" applyFont="1" applyFill="1" applyAlignment="1"/>
    <xf numFmtId="0" fontId="26" fillId="0" borderId="0" xfId="0" applyFont="1" applyAlignment="1">
      <alignment horizontal="left"/>
    </xf>
    <xf numFmtId="0" fontId="37" fillId="0" borderId="0" xfId="0" applyFont="1" applyAlignment="1"/>
    <xf numFmtId="0" fontId="28" fillId="0" borderId="0" xfId="0" applyFont="1" applyAlignment="1"/>
    <xf numFmtId="0" fontId="8" fillId="8" borderId="15" xfId="0" applyFont="1" applyFill="1" applyBorder="1" applyAlignment="1">
      <alignment horizontal="center" vertical="center" wrapText="1"/>
    </xf>
    <xf numFmtId="0" fontId="30" fillId="0" borderId="0" xfId="0" applyFont="1" applyFill="1" applyAlignment="1">
      <alignment wrapText="1"/>
    </xf>
    <xf numFmtId="0" fontId="6" fillId="0" borderId="0" xfId="0" applyFont="1" applyFill="1"/>
    <xf numFmtId="0" fontId="13" fillId="15" borderId="99" xfId="0" applyFont="1" applyFill="1" applyBorder="1" applyAlignment="1">
      <alignment horizontal="center" vertical="center"/>
    </xf>
    <xf numFmtId="165" fontId="8" fillId="5" borderId="65"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166" fontId="7" fillId="11" borderId="0" xfId="0" applyNumberFormat="1" applyFont="1" applyFill="1" applyBorder="1" applyAlignment="1">
      <alignment horizontal="center"/>
    </xf>
    <xf numFmtId="166" fontId="7" fillId="11" borderId="0" xfId="0" applyNumberFormat="1" applyFont="1" applyFill="1" applyBorder="1" applyAlignment="1">
      <alignment horizontal="center" vertical="center"/>
    </xf>
    <xf numFmtId="169" fontId="7" fillId="11" borderId="0" xfId="0" applyNumberFormat="1" applyFont="1" applyFill="1" applyBorder="1" applyAlignment="1">
      <alignment horizontal="center" vertical="center"/>
    </xf>
    <xf numFmtId="2" fontId="7" fillId="11" borderId="1" xfId="0" applyNumberFormat="1" applyFont="1" applyFill="1" applyBorder="1" applyAlignment="1">
      <alignment horizontal="center" vertical="center"/>
    </xf>
    <xf numFmtId="0" fontId="8" fillId="8" borderId="60" xfId="0" applyFont="1" applyFill="1" applyBorder="1" applyAlignment="1">
      <alignment horizontal="center" vertical="center" wrapText="1"/>
    </xf>
    <xf numFmtId="0" fontId="8" fillId="8" borderId="61" xfId="0" applyFont="1" applyFill="1" applyBorder="1" applyAlignment="1">
      <alignment horizontal="center" vertical="center" wrapText="1"/>
    </xf>
    <xf numFmtId="164" fontId="7" fillId="12" borderId="32" xfId="1" applyNumberFormat="1" applyFont="1" applyFill="1" applyBorder="1" applyAlignment="1">
      <alignment horizontal="center" vertical="center"/>
    </xf>
    <xf numFmtId="170" fontId="7" fillId="11" borderId="0" xfId="0" applyNumberFormat="1" applyFont="1" applyFill="1" applyBorder="1" applyAlignment="1">
      <alignment horizontal="center" vertical="center"/>
    </xf>
    <xf numFmtId="0" fontId="8" fillId="4" borderId="0" xfId="0" applyFont="1" applyFill="1" applyBorder="1" applyAlignment="1">
      <alignment horizontal="center" vertical="center" wrapText="1"/>
    </xf>
    <xf numFmtId="0" fontId="7" fillId="5" borderId="21" xfId="0" applyNumberFormat="1" applyFont="1" applyFill="1" applyBorder="1" applyAlignment="1">
      <alignment horizontal="center" vertical="center"/>
    </xf>
    <xf numFmtId="0" fontId="7" fillId="0" borderId="8" xfId="0" applyFont="1" applyBorder="1"/>
    <xf numFmtId="0" fontId="8" fillId="4" borderId="2" xfId="0" applyFont="1" applyFill="1" applyBorder="1" applyAlignment="1">
      <alignment horizontal="center" vertical="center" wrapText="1"/>
    </xf>
    <xf numFmtId="0" fontId="17" fillId="4" borderId="8" xfId="0" applyFont="1" applyFill="1" applyBorder="1" applyAlignment="1">
      <alignment vertical="center" wrapText="1"/>
    </xf>
    <xf numFmtId="173" fontId="7" fillId="4" borderId="0" xfId="0" applyNumberFormat="1" applyFont="1" applyFill="1"/>
    <xf numFmtId="0" fontId="20" fillId="17" borderId="10" xfId="0" applyFont="1" applyFill="1" applyBorder="1" applyAlignment="1">
      <alignment horizontal="right"/>
    </xf>
    <xf numFmtId="2" fontId="7" fillId="18" borderId="0" xfId="0" applyNumberFormat="1" applyFont="1" applyFill="1" applyBorder="1"/>
    <xf numFmtId="2" fontId="7" fillId="4" borderId="0" xfId="0" applyNumberFormat="1" applyFont="1" applyFill="1" applyBorder="1"/>
    <xf numFmtId="0" fontId="20" fillId="17" borderId="0" xfId="0" applyFont="1" applyFill="1" applyBorder="1"/>
    <xf numFmtId="2" fontId="7" fillId="18" borderId="8" xfId="0" applyNumberFormat="1" applyFont="1" applyFill="1" applyBorder="1"/>
    <xf numFmtId="0" fontId="7" fillId="4" borderId="0" xfId="0" applyFont="1" applyFill="1" applyBorder="1" applyAlignment="1">
      <alignment vertical="center"/>
    </xf>
    <xf numFmtId="2" fontId="7" fillId="18" borderId="8" xfId="0" applyNumberFormat="1" applyFont="1" applyFill="1" applyBorder="1" applyAlignment="1">
      <alignment horizontal="center" vertical="center"/>
    </xf>
    <xf numFmtId="0" fontId="17" fillId="4" borderId="8" xfId="0" applyFont="1" applyFill="1" applyBorder="1" applyAlignment="1">
      <alignment horizontal="center" vertical="center" wrapText="1"/>
    </xf>
    <xf numFmtId="2" fontId="7" fillId="18" borderId="9" xfId="0" applyNumberFormat="1" applyFont="1" applyFill="1" applyBorder="1" applyAlignment="1">
      <alignment horizontal="center" vertical="center"/>
    </xf>
    <xf numFmtId="164" fontId="7" fillId="12" borderId="59" xfId="1" applyNumberFormat="1" applyFont="1" applyFill="1" applyBorder="1" applyAlignment="1">
      <alignment horizontal="center" vertical="center"/>
    </xf>
    <xf numFmtId="0" fontId="44" fillId="0" borderId="0" xfId="14" applyNumberFormat="1" applyFont="1" applyFill="1" applyBorder="1" applyAlignment="1" applyProtection="1"/>
    <xf numFmtId="0" fontId="35" fillId="0" borderId="0" xfId="6"/>
    <xf numFmtId="0" fontId="35" fillId="0" borderId="0" xfId="6" applyFill="1"/>
    <xf numFmtId="0" fontId="43" fillId="0" borderId="0" xfId="6" applyFont="1" applyFill="1"/>
    <xf numFmtId="0" fontId="0" fillId="0" borderId="0" xfId="0"/>
    <xf numFmtId="0" fontId="7" fillId="0" borderId="0" xfId="0" applyFont="1"/>
    <xf numFmtId="9" fontId="9" fillId="4" borderId="0" xfId="0" applyNumberFormat="1" applyFont="1" applyFill="1" applyBorder="1"/>
    <xf numFmtId="0" fontId="9" fillId="4" borderId="0" xfId="0" applyFont="1" applyFill="1" applyBorder="1"/>
    <xf numFmtId="10" fontId="7" fillId="4" borderId="0" xfId="0" applyNumberFormat="1" applyFont="1" applyFill="1" applyBorder="1"/>
    <xf numFmtId="9" fontId="7" fillId="4" borderId="0" xfId="0" applyNumberFormat="1" applyFont="1" applyFill="1" applyBorder="1"/>
    <xf numFmtId="0" fontId="7" fillId="4" borderId="0" xfId="0" applyFont="1" applyFill="1" applyBorder="1"/>
    <xf numFmtId="0" fontId="7" fillId="4" borderId="1" xfId="0" applyFont="1" applyFill="1" applyBorder="1"/>
    <xf numFmtId="0" fontId="7" fillId="4" borderId="4" xfId="0" applyFont="1" applyFill="1" applyBorder="1"/>
    <xf numFmtId="0" fontId="7" fillId="4" borderId="5" xfId="0" applyFont="1" applyFill="1" applyBorder="1"/>
    <xf numFmtId="0" fontId="7" fillId="4" borderId="6" xfId="0" applyFont="1" applyFill="1" applyBorder="1"/>
    <xf numFmtId="0" fontId="7" fillId="4" borderId="7" xfId="0" applyFont="1" applyFill="1" applyBorder="1"/>
    <xf numFmtId="0" fontId="7" fillId="4" borderId="8" xfId="0" applyFont="1" applyFill="1" applyBorder="1"/>
    <xf numFmtId="9" fontId="7" fillId="5" borderId="14" xfId="0" applyNumberFormat="1" applyFont="1" applyFill="1" applyBorder="1" applyAlignment="1">
      <alignment horizontal="center" vertical="center"/>
    </xf>
    <xf numFmtId="0" fontId="7" fillId="4" borderId="0" xfId="0" applyFont="1" applyFill="1"/>
    <xf numFmtId="0" fontId="7" fillId="4" borderId="10" xfId="0" applyFont="1" applyFill="1" applyBorder="1"/>
    <xf numFmtId="0" fontId="10" fillId="0" borderId="15" xfId="0" applyFont="1" applyFill="1" applyBorder="1" applyAlignment="1">
      <alignment vertical="center"/>
    </xf>
    <xf numFmtId="0" fontId="11" fillId="4" borderId="0" xfId="0" applyFont="1" applyFill="1" applyAlignment="1">
      <alignment vertical="center"/>
    </xf>
    <xf numFmtId="0" fontId="8" fillId="8" borderId="16" xfId="0" applyFont="1" applyFill="1" applyBorder="1" applyAlignment="1">
      <alignment horizontal="center" vertical="center" wrapText="1"/>
    </xf>
    <xf numFmtId="0" fontId="7" fillId="8" borderId="17" xfId="0" applyFont="1" applyFill="1" applyBorder="1" applyAlignment="1">
      <alignment wrapText="1"/>
    </xf>
    <xf numFmtId="0" fontId="7" fillId="8" borderId="18" xfId="0" applyFont="1" applyFill="1" applyBorder="1" applyAlignment="1"/>
    <xf numFmtId="0" fontId="13" fillId="4" borderId="0" xfId="0" applyFont="1" applyFill="1" applyBorder="1" applyAlignment="1">
      <alignment horizontal="right" vertical="center"/>
    </xf>
    <xf numFmtId="0" fontId="15" fillId="4" borderId="0" xfId="0" applyFont="1" applyFill="1"/>
    <xf numFmtId="0" fontId="7" fillId="12" borderId="19" xfId="0" applyFont="1" applyFill="1" applyBorder="1" applyAlignment="1">
      <alignment horizontal="center" vertical="center"/>
    </xf>
    <xf numFmtId="0" fontId="11" fillId="4" borderId="1" xfId="0" applyFont="1" applyFill="1" applyBorder="1" applyAlignment="1">
      <alignment vertical="center"/>
    </xf>
    <xf numFmtId="0" fontId="13" fillId="15" borderId="2" xfId="0" applyFont="1" applyFill="1" applyBorder="1"/>
    <xf numFmtId="0" fontId="19" fillId="15" borderId="2" xfId="0" applyFont="1" applyFill="1" applyBorder="1"/>
    <xf numFmtId="0" fontId="19" fillId="4" borderId="2" xfId="0" applyFont="1" applyFill="1" applyBorder="1"/>
    <xf numFmtId="0" fontId="19" fillId="4" borderId="7" xfId="0" applyFont="1" applyFill="1" applyBorder="1"/>
    <xf numFmtId="0" fontId="13" fillId="15" borderId="0" xfId="0" applyFont="1" applyFill="1" applyBorder="1"/>
    <xf numFmtId="0" fontId="19" fillId="15" borderId="0" xfId="0" applyFont="1" applyFill="1" applyBorder="1"/>
    <xf numFmtId="0" fontId="19" fillId="4" borderId="0" xfId="0" applyFont="1" applyFill="1" applyBorder="1"/>
    <xf numFmtId="0" fontId="19" fillId="4" borderId="8" xfId="0" applyFont="1" applyFill="1" applyBorder="1"/>
    <xf numFmtId="0" fontId="14" fillId="14" borderId="10" xfId="0" applyFont="1" applyFill="1" applyBorder="1" applyAlignment="1">
      <alignment horizontal="left" vertical="top"/>
    </xf>
    <xf numFmtId="0" fontId="19" fillId="14" borderId="0" xfId="0" applyFont="1" applyFill="1" applyBorder="1"/>
    <xf numFmtId="164" fontId="19" fillId="16" borderId="0" xfId="0" applyNumberFormat="1" applyFont="1" applyFill="1" applyBorder="1" applyAlignment="1">
      <alignment horizontal="right"/>
    </xf>
    <xf numFmtId="0" fontId="14" fillId="14" borderId="10" xfId="0" applyFont="1" applyFill="1" applyBorder="1" applyAlignment="1">
      <alignment horizontal="right"/>
    </xf>
    <xf numFmtId="0" fontId="14" fillId="14" borderId="0" xfId="0" applyFont="1" applyFill="1" applyBorder="1"/>
    <xf numFmtId="0" fontId="19" fillId="14" borderId="8" xfId="0" applyFont="1" applyFill="1" applyBorder="1"/>
    <xf numFmtId="0" fontId="9" fillId="4" borderId="2" xfId="0" applyFont="1" applyFill="1" applyBorder="1" applyAlignment="1">
      <alignment horizontal="center"/>
    </xf>
    <xf numFmtId="0" fontId="8" fillId="4" borderId="2" xfId="0" applyFont="1" applyFill="1" applyBorder="1" applyAlignment="1">
      <alignment horizontal="center"/>
    </xf>
    <xf numFmtId="0" fontId="9" fillId="4" borderId="0" xfId="0" applyFont="1" applyFill="1" applyBorder="1" applyAlignment="1">
      <alignment horizontal="center"/>
    </xf>
    <xf numFmtId="0" fontId="20" fillId="4" borderId="0" xfId="0" applyFont="1" applyFill="1"/>
    <xf numFmtId="0" fontId="5" fillId="0" borderId="0" xfId="2"/>
    <xf numFmtId="0" fontId="0" fillId="0" borderId="0" xfId="0" applyFont="1"/>
    <xf numFmtId="0" fontId="18" fillId="4" borderId="0" xfId="0" applyFont="1" applyFill="1" applyBorder="1" applyAlignment="1">
      <alignment vertical="center"/>
    </xf>
    <xf numFmtId="164" fontId="0" fillId="0" borderId="0" xfId="0" applyNumberFormat="1"/>
    <xf numFmtId="0" fontId="0" fillId="0" borderId="0" xfId="0" applyNumberFormat="1"/>
    <xf numFmtId="164" fontId="7" fillId="12" borderId="30" xfId="1" applyNumberFormat="1" applyFont="1" applyFill="1" applyBorder="1" applyAlignment="1">
      <alignment horizontal="center" vertical="center"/>
    </xf>
    <xf numFmtId="0" fontId="8" fillId="8" borderId="33" xfId="0" applyFont="1" applyFill="1" applyBorder="1" applyAlignment="1">
      <alignment horizontal="center" vertical="center" wrapText="1"/>
    </xf>
    <xf numFmtId="164" fontId="7" fillId="12" borderId="35" xfId="1" applyNumberFormat="1" applyFont="1" applyFill="1" applyBorder="1" applyAlignment="1">
      <alignment horizontal="center" vertical="center"/>
    </xf>
    <xf numFmtId="0" fontId="8" fillId="8" borderId="36" xfId="0" applyFont="1" applyFill="1" applyBorder="1" applyAlignment="1">
      <alignment horizontal="center" vertical="center" wrapText="1"/>
    </xf>
    <xf numFmtId="9" fontId="9" fillId="0" borderId="0" xfId="0" applyNumberFormat="1" applyFont="1" applyFill="1" applyBorder="1"/>
    <xf numFmtId="9" fontId="7" fillId="0" borderId="0" xfId="0" applyNumberFormat="1" applyFont="1" applyFill="1" applyBorder="1"/>
    <xf numFmtId="0" fontId="17" fillId="4" borderId="0" xfId="0" applyFont="1" applyFill="1" applyBorder="1" applyAlignment="1">
      <alignment horizontal="center" vertical="center" wrapText="1"/>
    </xf>
    <xf numFmtId="2" fontId="7" fillId="4" borderId="0" xfId="0" applyNumberFormat="1" applyFont="1" applyFill="1" applyBorder="1" applyAlignment="1">
      <alignment horizontal="center" vertical="center"/>
    </xf>
    <xf numFmtId="0" fontId="0" fillId="4" borderId="0" xfId="0" applyFill="1"/>
    <xf numFmtId="0" fontId="13" fillId="15" borderId="1" xfId="0" applyFont="1" applyFill="1" applyBorder="1"/>
    <xf numFmtId="0" fontId="19" fillId="15" borderId="1" xfId="0" applyFont="1" applyFill="1" applyBorder="1"/>
    <xf numFmtId="0" fontId="8" fillId="3" borderId="40" xfId="0" applyFont="1" applyFill="1" applyBorder="1" applyAlignment="1">
      <alignment horizontal="center" vertical="center" wrapText="1"/>
    </xf>
    <xf numFmtId="9" fontId="7" fillId="5" borderId="41" xfId="0" applyNumberFormat="1" applyFont="1" applyFill="1" applyBorder="1" applyAlignment="1">
      <alignment horizontal="center" vertical="center"/>
    </xf>
    <xf numFmtId="0" fontId="8" fillId="4" borderId="10" xfId="0" applyFont="1" applyFill="1" applyBorder="1" applyAlignment="1">
      <alignment horizontal="center" vertical="center" wrapText="1"/>
    </xf>
    <xf numFmtId="0" fontId="7" fillId="4" borderId="45" xfId="0" applyFont="1" applyFill="1" applyBorder="1"/>
    <xf numFmtId="0" fontId="8" fillId="6" borderId="5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3" borderId="52" xfId="0" applyFont="1" applyFill="1" applyBorder="1" applyAlignment="1">
      <alignment horizontal="center" vertical="center" wrapText="1"/>
    </xf>
    <xf numFmtId="9" fontId="7" fillId="5" borderId="53" xfId="0" applyNumberFormat="1" applyFont="1" applyFill="1" applyBorder="1" applyAlignment="1">
      <alignment horizontal="center" vertical="center"/>
    </xf>
    <xf numFmtId="0" fontId="8" fillId="6" borderId="29"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14" fillId="4" borderId="3" xfId="0" applyFont="1" applyFill="1" applyBorder="1" applyAlignment="1">
      <alignment vertical="center" wrapText="1"/>
    </xf>
    <xf numFmtId="0" fontId="8" fillId="4" borderId="1" xfId="0" applyFont="1" applyFill="1" applyBorder="1" applyAlignment="1">
      <alignment vertical="center" wrapText="1"/>
    </xf>
    <xf numFmtId="165" fontId="7" fillId="4" borderId="1" xfId="0" applyNumberFormat="1" applyFont="1" applyFill="1" applyBorder="1" applyAlignment="1">
      <alignment vertical="center"/>
    </xf>
    <xf numFmtId="164" fontId="7" fillId="4" borderId="9" xfId="1" applyNumberFormat="1" applyFont="1" applyFill="1" applyBorder="1" applyAlignment="1">
      <alignment vertical="center"/>
    </xf>
    <xf numFmtId="9" fontId="7" fillId="7" borderId="55" xfId="3" applyFont="1" applyFill="1" applyBorder="1" applyAlignment="1">
      <alignment horizontal="center" vertical="center"/>
    </xf>
    <xf numFmtId="0" fontId="8" fillId="6" borderId="56" xfId="0" applyFont="1" applyFill="1" applyBorder="1" applyAlignment="1">
      <alignment horizontal="center" vertical="center" wrapText="1"/>
    </xf>
    <xf numFmtId="165" fontId="7" fillId="7" borderId="57" xfId="0" applyNumberFormat="1" applyFont="1" applyFill="1" applyBorder="1" applyAlignment="1">
      <alignment horizontal="center" vertical="center"/>
    </xf>
    <xf numFmtId="164" fontId="7" fillId="4" borderId="0" xfId="0" applyNumberFormat="1" applyFont="1" applyFill="1"/>
    <xf numFmtId="0" fontId="8" fillId="6" borderId="58" xfId="0" applyFont="1" applyFill="1" applyBorder="1" applyAlignment="1">
      <alignment horizontal="center" vertical="center" wrapText="1"/>
    </xf>
    <xf numFmtId="0" fontId="37" fillId="0" borderId="0" xfId="0" applyFont="1"/>
    <xf numFmtId="0" fontId="8" fillId="3" borderId="20" xfId="0" applyFont="1" applyFill="1" applyBorder="1" applyAlignment="1">
      <alignment horizontal="center" vertical="center" wrapText="1"/>
    </xf>
    <xf numFmtId="9" fontId="7" fillId="5" borderId="21" xfId="0" applyNumberFormat="1" applyFont="1" applyFill="1" applyBorder="1" applyAlignment="1">
      <alignment horizontal="center" vertical="center"/>
    </xf>
    <xf numFmtId="10" fontId="7" fillId="4" borderId="0" xfId="0" applyNumberFormat="1" applyFont="1" applyFill="1" applyBorder="1" applyAlignment="1">
      <alignment horizontal="center" vertical="center"/>
    </xf>
    <xf numFmtId="9" fontId="7" fillId="4" borderId="0" xfId="0" applyNumberFormat="1" applyFont="1" applyFill="1" applyBorder="1" applyAlignment="1">
      <alignment horizontal="center" vertical="center"/>
    </xf>
    <xf numFmtId="9" fontId="7" fillId="4" borderId="0" xfId="3" applyFont="1" applyFill="1" applyBorder="1" applyAlignment="1">
      <alignment horizontal="center" vertical="center"/>
    </xf>
    <xf numFmtId="164" fontId="7" fillId="4" borderId="0" xfId="0" applyNumberFormat="1" applyFont="1" applyFill="1" applyBorder="1" applyAlignment="1">
      <alignment horizontal="center" vertical="center"/>
    </xf>
    <xf numFmtId="0" fontId="7" fillId="4" borderId="0" xfId="0" applyFont="1" applyFill="1" applyBorder="1" applyAlignment="1">
      <alignment vertical="top"/>
    </xf>
    <xf numFmtId="0" fontId="8" fillId="4" borderId="1" xfId="0" applyFont="1" applyFill="1" applyBorder="1"/>
    <xf numFmtId="9" fontId="7" fillId="12" borderId="37" xfId="3" applyFont="1" applyFill="1" applyBorder="1" applyAlignment="1">
      <alignment horizontal="center" vertical="center"/>
    </xf>
    <xf numFmtId="0" fontId="8" fillId="3" borderId="62"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64" xfId="0" applyFont="1" applyFill="1" applyBorder="1" applyAlignment="1">
      <alignment horizontal="center" vertical="center" wrapText="1"/>
    </xf>
    <xf numFmtId="164" fontId="7" fillId="5" borderId="63" xfId="0" applyNumberFormat="1" applyFont="1" applyFill="1" applyBorder="1" applyAlignment="1">
      <alignment horizontal="center" vertical="center"/>
    </xf>
    <xf numFmtId="0" fontId="7" fillId="4" borderId="9" xfId="0" applyFont="1" applyFill="1" applyBorder="1"/>
    <xf numFmtId="164" fontId="0" fillId="4" borderId="0" xfId="0" applyNumberFormat="1" applyFill="1"/>
    <xf numFmtId="0" fontId="0" fillId="4" borderId="0" xfId="0" applyNumberFormat="1" applyFill="1"/>
    <xf numFmtId="0" fontId="7" fillId="12" borderId="30" xfId="1" applyNumberFormat="1" applyFont="1" applyFill="1" applyBorder="1" applyAlignment="1">
      <alignment horizontal="center" vertical="center"/>
    </xf>
    <xf numFmtId="0" fontId="7" fillId="9" borderId="69" xfId="0" applyFont="1" applyFill="1" applyBorder="1" applyAlignment="1">
      <alignment horizontal="left" vertical="top" wrapText="1"/>
    </xf>
    <xf numFmtId="0" fontId="7" fillId="9" borderId="70" xfId="0" applyFont="1" applyFill="1" applyBorder="1" applyAlignment="1">
      <alignment horizontal="left" vertical="top" wrapText="1"/>
    </xf>
    <xf numFmtId="0" fontId="8" fillId="4" borderId="6" xfId="0" applyFont="1" applyFill="1" applyBorder="1" applyAlignment="1">
      <alignment vertical="center" wrapText="1"/>
    </xf>
    <xf numFmtId="0" fontId="17" fillId="4" borderId="0" xfId="0" applyFont="1" applyFill="1" applyBorder="1" applyAlignment="1"/>
    <xf numFmtId="0" fontId="13" fillId="4" borderId="0" xfId="0" applyFont="1" applyFill="1" applyAlignment="1">
      <alignment vertical="top" wrapText="1"/>
    </xf>
    <xf numFmtId="0" fontId="21" fillId="4" borderId="1" xfId="0" applyFont="1" applyFill="1" applyBorder="1" applyAlignment="1">
      <alignment vertical="center"/>
    </xf>
    <xf numFmtId="0" fontId="21" fillId="4" borderId="0" xfId="0" applyFont="1" applyFill="1" applyBorder="1" applyAlignment="1">
      <alignment vertical="center"/>
    </xf>
    <xf numFmtId="165" fontId="7" fillId="5" borderId="55" xfId="0" applyNumberFormat="1" applyFont="1" applyFill="1" applyBorder="1" applyAlignment="1">
      <alignment horizontal="center" vertical="center"/>
    </xf>
    <xf numFmtId="10" fontId="7" fillId="5" borderId="14" xfId="0" applyNumberFormat="1" applyFont="1" applyFill="1" applyBorder="1" applyAlignment="1">
      <alignment horizontal="center" vertical="center"/>
    </xf>
    <xf numFmtId="0" fontId="0" fillId="0" borderId="0" xfId="0" applyFill="1"/>
    <xf numFmtId="2" fontId="7" fillId="12" borderId="30" xfId="1" applyNumberFormat="1" applyFont="1" applyFill="1" applyBorder="1" applyAlignment="1">
      <alignment horizontal="center" vertical="center"/>
    </xf>
    <xf numFmtId="0" fontId="8" fillId="8" borderId="15" xfId="0" applyFont="1" applyFill="1" applyBorder="1" applyAlignment="1">
      <alignment horizontal="center" vertical="center" wrapText="1"/>
    </xf>
    <xf numFmtId="164" fontId="7" fillId="12" borderId="32" xfId="1" applyNumberFormat="1" applyFont="1" applyFill="1" applyBorder="1" applyAlignment="1">
      <alignment horizontal="center" vertical="center"/>
    </xf>
    <xf numFmtId="164" fontId="4" fillId="0" borderId="0" xfId="3" applyNumberFormat="1" applyFont="1" applyAlignment="1">
      <alignment horizontal="right"/>
    </xf>
    <xf numFmtId="0" fontId="17" fillId="4" borderId="0" xfId="0" applyFont="1" applyFill="1" applyBorder="1" applyAlignment="1">
      <alignment vertical="center" wrapText="1"/>
    </xf>
    <xf numFmtId="0" fontId="39" fillId="4" borderId="10" xfId="0" applyFont="1" applyFill="1" applyBorder="1"/>
    <xf numFmtId="0" fontId="8" fillId="10" borderId="10" xfId="0" applyFont="1" applyFill="1" applyBorder="1" applyAlignment="1">
      <alignment horizontal="left" vertical="center"/>
    </xf>
    <xf numFmtId="0" fontId="20" fillId="17" borderId="10" xfId="0" applyFont="1" applyFill="1" applyBorder="1"/>
    <xf numFmtId="0" fontId="8" fillId="8" borderId="60"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14" fillId="10" borderId="2" xfId="0" applyFont="1" applyFill="1" applyBorder="1" applyAlignment="1">
      <alignment horizontal="center"/>
    </xf>
    <xf numFmtId="0" fontId="8" fillId="10" borderId="2" xfId="0" applyFont="1" applyFill="1" applyBorder="1" applyAlignment="1">
      <alignment horizontal="center"/>
    </xf>
    <xf numFmtId="0" fontId="39" fillId="4" borderId="10" xfId="0" applyFont="1" applyFill="1" applyBorder="1" applyAlignment="1"/>
    <xf numFmtId="0" fontId="7" fillId="4" borderId="0" xfId="0" applyFont="1" applyFill="1" applyBorder="1" applyAlignment="1"/>
    <xf numFmtId="0" fontId="39" fillId="4" borderId="8" xfId="0" applyFont="1" applyFill="1" applyBorder="1" applyAlignment="1"/>
    <xf numFmtId="0" fontId="8" fillId="4" borderId="2" xfId="0" applyFont="1" applyFill="1" applyBorder="1" applyAlignment="1">
      <alignment horizontal="center" wrapText="1"/>
    </xf>
    <xf numFmtId="0" fontId="8" fillId="4" borderId="0" xfId="0" applyFont="1" applyFill="1" applyBorder="1" applyAlignment="1">
      <alignment horizontal="center" wrapText="1"/>
    </xf>
    <xf numFmtId="0" fontId="8" fillId="10" borderId="10" xfId="0" applyFont="1" applyFill="1" applyBorder="1" applyAlignment="1">
      <alignment horizontal="left"/>
    </xf>
    <xf numFmtId="0" fontId="7" fillId="10" borderId="0" xfId="0" applyFont="1" applyFill="1" applyBorder="1"/>
    <xf numFmtId="0" fontId="11" fillId="10" borderId="8" xfId="0" applyFont="1" applyFill="1" applyBorder="1" applyAlignment="1">
      <alignment vertical="center"/>
    </xf>
    <xf numFmtId="0" fontId="7" fillId="18" borderId="10" xfId="0" applyFont="1" applyFill="1" applyBorder="1"/>
    <xf numFmtId="0" fontId="7" fillId="18" borderId="0" xfId="0" applyFont="1" applyFill="1" applyBorder="1"/>
    <xf numFmtId="10" fontId="7" fillId="18" borderId="8" xfId="0" applyNumberFormat="1" applyFont="1" applyFill="1" applyBorder="1"/>
    <xf numFmtId="0" fontId="8" fillId="10" borderId="10" xfId="0" applyFont="1" applyFill="1" applyBorder="1"/>
    <xf numFmtId="0" fontId="7" fillId="10" borderId="8" xfId="0" applyFont="1" applyFill="1" applyBorder="1"/>
    <xf numFmtId="4" fontId="7" fillId="18" borderId="8" xfId="0" applyNumberFormat="1" applyFont="1" applyFill="1" applyBorder="1"/>
    <xf numFmtId="0" fontId="7" fillId="18" borderId="3" xfId="0" applyFont="1" applyFill="1" applyBorder="1"/>
    <xf numFmtId="0" fontId="7" fillId="18" borderId="1" xfId="0" applyFont="1" applyFill="1" applyBorder="1"/>
    <xf numFmtId="4" fontId="7" fillId="18" borderId="9" xfId="0" applyNumberFormat="1" applyFont="1" applyFill="1" applyBorder="1"/>
    <xf numFmtId="0" fontId="39" fillId="10" borderId="6" xfId="0" applyFont="1" applyFill="1" applyBorder="1" applyAlignment="1">
      <alignment horizontal="left"/>
    </xf>
    <xf numFmtId="0" fontId="7" fillId="10" borderId="2" xfId="0" applyFont="1" applyFill="1" applyBorder="1"/>
    <xf numFmtId="0" fontId="11" fillId="10" borderId="7" xfId="0" applyFont="1" applyFill="1" applyBorder="1" applyAlignment="1">
      <alignment vertical="center"/>
    </xf>
    <xf numFmtId="0" fontId="39" fillId="10" borderId="2" xfId="0" applyFont="1" applyFill="1" applyBorder="1" applyAlignment="1">
      <alignment horizontal="left"/>
    </xf>
    <xf numFmtId="0" fontId="39" fillId="10" borderId="7" xfId="0" applyFont="1" applyFill="1" applyBorder="1" applyAlignment="1">
      <alignment horizontal="left"/>
    </xf>
    <xf numFmtId="0" fontId="7" fillId="4" borderId="3" xfId="0" applyFont="1" applyFill="1" applyBorder="1"/>
    <xf numFmtId="0" fontId="7" fillId="18" borderId="1" xfId="0" applyFont="1" applyFill="1" applyBorder="1" applyAlignment="1">
      <alignment wrapText="1"/>
    </xf>
    <xf numFmtId="4" fontId="7" fillId="18" borderId="9" xfId="0" applyNumberFormat="1" applyFont="1" applyFill="1" applyBorder="1" applyAlignment="1">
      <alignment horizontal="center" vertical="center"/>
    </xf>
    <xf numFmtId="9" fontId="7" fillId="5" borderId="96" xfId="0" applyNumberFormat="1" applyFont="1" applyFill="1" applyBorder="1" applyAlignment="1">
      <alignment horizontal="center" vertical="center"/>
    </xf>
    <xf numFmtId="0" fontId="7" fillId="4" borderId="0" xfId="0" applyFont="1" applyFill="1" applyBorder="1" applyAlignment="1">
      <alignment horizontal="left" vertical="center"/>
    </xf>
    <xf numFmtId="9" fontId="10" fillId="5" borderId="21" xfId="0" applyNumberFormat="1" applyFont="1" applyFill="1" applyBorder="1" applyAlignment="1">
      <alignment horizontal="center" vertical="center"/>
    </xf>
    <xf numFmtId="0" fontId="10" fillId="4" borderId="4" xfId="0" applyFont="1" applyFill="1" applyBorder="1"/>
    <xf numFmtId="9" fontId="10" fillId="5" borderId="63" xfId="0" applyNumberFormat="1" applyFont="1" applyFill="1" applyBorder="1" applyAlignment="1">
      <alignment horizontal="center" vertical="center"/>
    </xf>
    <xf numFmtId="9" fontId="10" fillId="7" borderId="48" xfId="3" applyFont="1" applyFill="1" applyBorder="1" applyAlignment="1">
      <alignment horizontal="center" vertical="center"/>
    </xf>
    <xf numFmtId="9" fontId="10" fillId="7" borderId="28" xfId="3" applyFont="1" applyFill="1" applyBorder="1" applyAlignment="1">
      <alignment horizontal="center" vertical="center"/>
    </xf>
    <xf numFmtId="164" fontId="10" fillId="7" borderId="49" xfId="0" applyNumberFormat="1" applyFont="1" applyFill="1" applyBorder="1" applyAlignment="1">
      <alignment horizontal="center" vertical="center"/>
    </xf>
    <xf numFmtId="164" fontId="10" fillId="7" borderId="50" xfId="0" applyNumberFormat="1" applyFont="1" applyFill="1" applyBorder="1" applyAlignment="1">
      <alignment horizontal="center" vertical="center"/>
    </xf>
    <xf numFmtId="172" fontId="20" fillId="4" borderId="0" xfId="0" applyNumberFormat="1" applyFont="1" applyFill="1"/>
    <xf numFmtId="4" fontId="7" fillId="4" borderId="0" xfId="0" applyNumberFormat="1" applyFont="1" applyFill="1"/>
    <xf numFmtId="0" fontId="40" fillId="4" borderId="0" xfId="0" applyFont="1" applyFill="1"/>
    <xf numFmtId="0" fontId="8" fillId="6" borderId="3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7" fillId="0" borderId="4" xfId="0" applyFont="1" applyFill="1" applyBorder="1" applyAlignment="1">
      <alignment horizontal="center" vertical="center"/>
    </xf>
    <xf numFmtId="0" fontId="5" fillId="9" borderId="82" xfId="2" applyFill="1" applyBorder="1" applyAlignment="1">
      <alignment horizontal="center"/>
    </xf>
    <xf numFmtId="0" fontId="5" fillId="9" borderId="1" xfId="2" applyFill="1" applyBorder="1" applyAlignment="1">
      <alignment horizontal="center"/>
    </xf>
    <xf numFmtId="0" fontId="5" fillId="9" borderId="83" xfId="2" applyFill="1" applyBorder="1" applyAlignment="1">
      <alignment horizontal="center"/>
    </xf>
    <xf numFmtId="167" fontId="35" fillId="0" borderId="0" xfId="6" applyNumberFormat="1" applyFill="1"/>
    <xf numFmtId="9" fontId="35" fillId="0" borderId="0" xfId="6" applyNumberFormat="1" applyFill="1"/>
    <xf numFmtId="4" fontId="35" fillId="0" borderId="0" xfId="6" applyNumberFormat="1" applyFill="1"/>
    <xf numFmtId="9" fontId="35" fillId="0" borderId="0" xfId="6" applyNumberFormat="1"/>
    <xf numFmtId="0" fontId="35" fillId="0" borderId="0" xfId="6" applyFont="1" applyFill="1"/>
    <xf numFmtId="0" fontId="35" fillId="0" borderId="0" xfId="6" applyNumberFormat="1" applyFill="1"/>
    <xf numFmtId="0" fontId="43" fillId="0" borderId="0" xfId="6" applyFont="1"/>
    <xf numFmtId="0" fontId="35" fillId="0" borderId="0" xfId="6" quotePrefix="1"/>
    <xf numFmtId="10" fontId="35" fillId="0" borderId="0" xfId="6" applyNumberFormat="1"/>
    <xf numFmtId="10" fontId="43" fillId="0" borderId="0" xfId="6" applyNumberFormat="1" applyFont="1"/>
    <xf numFmtId="0" fontId="35" fillId="0" borderId="0" xfId="6" applyAlignment="1"/>
    <xf numFmtId="0" fontId="45" fillId="0" borderId="0" xfId="6" applyFont="1"/>
    <xf numFmtId="9" fontId="46" fillId="0" borderId="0" xfId="6" applyNumberFormat="1" applyFont="1" applyFill="1"/>
    <xf numFmtId="167" fontId="46" fillId="0" borderId="0" xfId="6" applyNumberFormat="1" applyFont="1" applyFill="1"/>
    <xf numFmtId="167" fontId="0" fillId="0" borderId="0" xfId="0" applyNumberFormat="1" applyFont="1" applyFill="1"/>
    <xf numFmtId="6" fontId="7" fillId="4" borderId="0" xfId="0" applyNumberFormat="1" applyFont="1" applyFill="1"/>
    <xf numFmtId="9" fontId="7" fillId="5" borderId="7" xfId="0" applyNumberFormat="1" applyFont="1" applyFill="1" applyBorder="1" applyAlignment="1">
      <alignment horizontal="center" vertical="center"/>
    </xf>
    <xf numFmtId="0" fontId="7" fillId="4" borderId="0" xfId="0" applyNumberFormat="1" applyFont="1" applyFill="1"/>
    <xf numFmtId="0" fontId="8" fillId="4" borderId="0"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7" fillId="4" borderId="2" xfId="0" applyFont="1" applyFill="1" applyBorder="1" applyAlignment="1"/>
    <xf numFmtId="4" fontId="0" fillId="0" borderId="0" xfId="0" applyNumberFormat="1"/>
    <xf numFmtId="6" fontId="4" fillId="0" borderId="0" xfId="3" applyNumberFormat="1" applyFont="1" applyAlignment="1">
      <alignment horizontal="right"/>
    </xf>
    <xf numFmtId="176" fontId="4" fillId="0" borderId="0" xfId="3" applyNumberFormat="1" applyFont="1" applyAlignment="1">
      <alignment horizontal="right"/>
    </xf>
    <xf numFmtId="165" fontId="4" fillId="0" borderId="0" xfId="3" applyNumberFormat="1" applyFont="1" applyAlignment="1">
      <alignment horizontal="right"/>
    </xf>
    <xf numFmtId="0" fontId="8" fillId="4" borderId="2"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2" fontId="7" fillId="11" borderId="0"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166" fontId="7" fillId="11" borderId="0" xfId="0" applyNumberFormat="1" applyFont="1" applyFill="1" applyBorder="1" applyAlignment="1">
      <alignment horizontal="center"/>
    </xf>
    <xf numFmtId="0" fontId="8" fillId="10" borderId="3" xfId="0" applyFont="1" applyFill="1" applyBorder="1" applyAlignment="1">
      <alignment horizontal="center" vertical="center" wrapText="1"/>
    </xf>
    <xf numFmtId="166" fontId="7" fillId="11" borderId="0" xfId="0" applyNumberFormat="1" applyFont="1" applyFill="1" applyBorder="1" applyAlignment="1">
      <alignment horizontal="center" vertical="center"/>
    </xf>
    <xf numFmtId="0" fontId="12" fillId="4" borderId="0" xfId="2" applyFont="1" applyFill="1" applyBorder="1" applyAlignment="1">
      <alignment horizontal="left" vertical="top" wrapText="1"/>
    </xf>
    <xf numFmtId="0" fontId="8" fillId="4" borderId="7" xfId="0" applyFont="1" applyFill="1" applyBorder="1" applyAlignment="1">
      <alignment horizontal="center" vertical="center" wrapText="1"/>
    </xf>
    <xf numFmtId="168" fontId="19" fillId="16" borderId="0" xfId="0" applyNumberFormat="1" applyFont="1" applyFill="1" applyBorder="1" applyAlignment="1">
      <alignment horizontal="right"/>
    </xf>
    <xf numFmtId="168" fontId="19" fillId="16" borderId="1" xfId="0" applyNumberFormat="1" applyFont="1" applyFill="1" applyBorder="1" applyAlignment="1">
      <alignment horizontal="right"/>
    </xf>
    <xf numFmtId="4" fontId="0" fillId="0" borderId="0" xfId="0" applyNumberFormat="1" applyFont="1"/>
    <xf numFmtId="0" fontId="13" fillId="0" borderId="0" xfId="0" applyFont="1" applyFill="1" applyBorder="1"/>
    <xf numFmtId="0" fontId="0" fillId="0" borderId="89" xfId="0" applyBorder="1" applyAlignment="1"/>
    <xf numFmtId="166" fontId="7" fillId="11" borderId="0" xfId="0" applyNumberFormat="1" applyFont="1" applyFill="1" applyBorder="1" applyAlignment="1">
      <alignment horizontal="center" vertical="center"/>
    </xf>
    <xf numFmtId="0" fontId="13" fillId="15" borderId="77" xfId="0" applyFont="1" applyFill="1" applyBorder="1" applyAlignment="1">
      <alignment horizontal="center" vertical="center" wrapText="1"/>
    </xf>
    <xf numFmtId="0" fontId="5" fillId="0" borderId="0" xfId="2" applyFill="1"/>
    <xf numFmtId="0" fontId="0" fillId="0" borderId="0" xfId="0" applyFont="1" applyFill="1" applyAlignment="1">
      <alignment horizontal="left" vertical="center"/>
    </xf>
    <xf numFmtId="0" fontId="32" fillId="0" borderId="0" xfId="0" applyFont="1" applyFill="1"/>
    <xf numFmtId="0" fontId="30" fillId="0" borderId="0" xfId="2" applyFont="1" applyFill="1"/>
    <xf numFmtId="10" fontId="0" fillId="0" borderId="0" xfId="3" applyNumberFormat="1" applyFont="1" applyFill="1"/>
    <xf numFmtId="0" fontId="26" fillId="0" borderId="0" xfId="0" applyFont="1" applyFill="1" applyAlignment="1">
      <alignment horizontal="left" wrapText="1"/>
    </xf>
    <xf numFmtId="10" fontId="0" fillId="0" borderId="0" xfId="0" quotePrefix="1" applyNumberFormat="1" applyFont="1" applyFill="1"/>
    <xf numFmtId="0" fontId="26" fillId="0" borderId="0" xfId="0" applyFont="1" applyFill="1" applyAlignment="1">
      <alignment wrapText="1"/>
    </xf>
    <xf numFmtId="4" fontId="0" fillId="0" borderId="0" xfId="0" applyNumberFormat="1" applyFont="1" applyFill="1"/>
    <xf numFmtId="0" fontId="37" fillId="0" borderId="0" xfId="0" applyFont="1" applyFill="1" applyAlignment="1">
      <alignment wrapText="1"/>
    </xf>
    <xf numFmtId="0" fontId="29" fillId="0" borderId="0" xfId="2" applyFont="1" applyFill="1" applyAlignment="1">
      <alignment vertical="center"/>
    </xf>
    <xf numFmtId="0" fontId="29" fillId="0" borderId="0" xfId="2" applyFont="1" applyFill="1"/>
    <xf numFmtId="0" fontId="5" fillId="0" borderId="0" xfId="2" applyFill="1" applyAlignment="1">
      <alignment vertical="center"/>
    </xf>
    <xf numFmtId="0" fontId="0" fillId="0" borderId="0" xfId="0" applyFont="1" applyFill="1" applyAlignment="1">
      <alignment vertical="top"/>
    </xf>
    <xf numFmtId="0" fontId="28" fillId="0" borderId="0" xfId="0" applyFont="1" applyFill="1" applyAlignment="1">
      <alignment wrapText="1"/>
    </xf>
    <xf numFmtId="165" fontId="19" fillId="16" borderId="2" xfId="0" applyNumberFormat="1" applyFont="1" applyFill="1" applyBorder="1" applyAlignment="1">
      <alignment horizontal="right"/>
    </xf>
    <xf numFmtId="165" fontId="19" fillId="16" borderId="0" xfId="0" applyNumberFormat="1" applyFont="1" applyFill="1" applyBorder="1" applyAlignment="1">
      <alignment horizontal="right"/>
    </xf>
    <xf numFmtId="177" fontId="19" fillId="16" borderId="0" xfId="0" applyNumberFormat="1" applyFont="1" applyFill="1" applyBorder="1" applyAlignment="1">
      <alignment horizontal="center"/>
    </xf>
    <xf numFmtId="176" fontId="7" fillId="4" borderId="109" xfId="0" applyNumberFormat="1" applyFont="1" applyFill="1" applyBorder="1" applyAlignment="1">
      <alignment horizontal="center" vertical="center"/>
    </xf>
    <xf numFmtId="176" fontId="7" fillId="4" borderId="115" xfId="0" applyNumberFormat="1" applyFont="1" applyFill="1" applyBorder="1" applyAlignment="1">
      <alignment horizontal="center" vertical="center"/>
    </xf>
    <xf numFmtId="176" fontId="7" fillId="4" borderId="110" xfId="0" applyNumberFormat="1" applyFont="1" applyFill="1" applyBorder="1" applyAlignment="1">
      <alignment horizontal="center" vertical="center"/>
    </xf>
    <xf numFmtId="176" fontId="7" fillId="4" borderId="116" xfId="0" applyNumberFormat="1" applyFont="1" applyFill="1" applyBorder="1" applyAlignment="1">
      <alignment horizontal="center" vertical="center"/>
    </xf>
    <xf numFmtId="176" fontId="7" fillId="17" borderId="0" xfId="0" applyNumberFormat="1" applyFont="1" applyFill="1" applyBorder="1" applyAlignment="1">
      <alignment horizontal="right"/>
    </xf>
    <xf numFmtId="176" fontId="7" fillId="4" borderId="0" xfId="0" applyNumberFormat="1" applyFont="1" applyFill="1" applyBorder="1"/>
    <xf numFmtId="176" fontId="20" fillId="17" borderId="0" xfId="0" applyNumberFormat="1" applyFont="1" applyFill="1" applyBorder="1" applyAlignment="1">
      <alignment horizontal="right"/>
    </xf>
    <xf numFmtId="176" fontId="7" fillId="17" borderId="8" xfId="0" applyNumberFormat="1" applyFont="1" applyFill="1" applyBorder="1" applyAlignment="1">
      <alignment horizontal="right"/>
    </xf>
    <xf numFmtId="176" fontId="7" fillId="4" borderId="0" xfId="0" applyNumberFormat="1" applyFont="1" applyFill="1" applyBorder="1" applyAlignment="1">
      <alignment horizontal="right"/>
    </xf>
    <xf numFmtId="176" fontId="39" fillId="4" borderId="8" xfId="0" applyNumberFormat="1" applyFont="1" applyFill="1" applyBorder="1"/>
    <xf numFmtId="176" fontId="8" fillId="4" borderId="0" xfId="0" applyNumberFormat="1" applyFont="1" applyFill="1" applyBorder="1" applyAlignment="1">
      <alignment horizontal="center" vertical="center"/>
    </xf>
    <xf numFmtId="176" fontId="8" fillId="17" borderId="8" xfId="0" applyNumberFormat="1" applyFont="1" applyFill="1" applyBorder="1" applyAlignment="1">
      <alignment horizontal="center"/>
    </xf>
    <xf numFmtId="177" fontId="7" fillId="0" borderId="9" xfId="0" applyNumberFormat="1" applyFont="1" applyFill="1" applyBorder="1" applyAlignment="1">
      <alignment horizontal="center" vertical="center"/>
    </xf>
    <xf numFmtId="4" fontId="7" fillId="5" borderId="21" xfId="0" applyNumberFormat="1" applyFont="1" applyFill="1" applyBorder="1" applyAlignment="1">
      <alignment horizontal="center" vertical="center"/>
    </xf>
    <xf numFmtId="9" fontId="7" fillId="7" borderId="57" xfId="0" applyNumberFormat="1" applyFont="1" applyFill="1" applyBorder="1" applyAlignment="1">
      <alignment horizontal="center" vertical="center"/>
    </xf>
    <xf numFmtId="176" fontId="0" fillId="0" borderId="0" xfId="3" applyNumberFormat="1" applyFont="1" applyAlignment="1">
      <alignment horizontal="right"/>
    </xf>
    <xf numFmtId="176" fontId="0" fillId="0" borderId="0" xfId="0" applyNumberFormat="1"/>
    <xf numFmtId="9" fontId="46" fillId="0" borderId="0" xfId="15" applyFont="1" applyFill="1"/>
    <xf numFmtId="9" fontId="35" fillId="0" borderId="0" xfId="15" applyFill="1"/>
    <xf numFmtId="0" fontId="46" fillId="0" borderId="0" xfId="6" applyNumberFormat="1" applyFont="1" applyFill="1"/>
    <xf numFmtId="3" fontId="46" fillId="0" borderId="0" xfId="6" applyNumberFormat="1" applyFont="1" applyFill="1"/>
    <xf numFmtId="175" fontId="43" fillId="0" borderId="0" xfId="6" applyNumberFormat="1" applyFont="1" applyFill="1"/>
    <xf numFmtId="175" fontId="43" fillId="0" borderId="0" xfId="6" applyNumberFormat="1" applyFont="1"/>
    <xf numFmtId="0" fontId="0" fillId="0" borderId="0" xfId="0" applyAlignment="1">
      <alignment vertical="top"/>
    </xf>
    <xf numFmtId="0" fontId="5" fillId="0" borderId="0" xfId="2" applyNumberFormat="1" applyFill="1" applyBorder="1" applyAlignment="1" applyProtection="1"/>
    <xf numFmtId="168" fontId="7" fillId="12" borderId="35" xfId="1" applyNumberFormat="1" applyFont="1" applyFill="1" applyBorder="1" applyAlignment="1">
      <alignment horizontal="center" vertical="center"/>
    </xf>
    <xf numFmtId="175" fontId="0" fillId="0" borderId="0" xfId="0" applyNumberFormat="1" applyFont="1" applyFill="1"/>
    <xf numFmtId="175" fontId="35" fillId="0" borderId="0" xfId="6" applyNumberFormat="1" applyFont="1" applyFill="1"/>
    <xf numFmtId="0" fontId="5" fillId="9" borderId="71" xfId="2" applyFill="1" applyBorder="1" applyAlignment="1">
      <alignment horizontal="left" vertical="top" wrapText="1"/>
    </xf>
    <xf numFmtId="164" fontId="7" fillId="12" borderId="32" xfId="1" applyNumberFormat="1" applyFont="1" applyFill="1" applyBorder="1" applyAlignment="1">
      <alignment horizontal="center" vertical="center"/>
    </xf>
    <xf numFmtId="0" fontId="8" fillId="8" borderId="60"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6" borderId="38" xfId="0" applyFont="1" applyFill="1" applyBorder="1" applyAlignment="1">
      <alignment horizontal="center" vertical="center" wrapText="1"/>
    </xf>
    <xf numFmtId="2" fontId="7" fillId="11" borderId="0"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166" fontId="7" fillId="11" borderId="0" xfId="0" applyNumberFormat="1" applyFont="1" applyFill="1" applyBorder="1" applyAlignment="1">
      <alignment horizontal="center"/>
    </xf>
    <xf numFmtId="0" fontId="8" fillId="10" borderId="3" xfId="0" applyFont="1" applyFill="1" applyBorder="1" applyAlignment="1">
      <alignment horizontal="center" vertical="center" wrapText="1"/>
    </xf>
    <xf numFmtId="0" fontId="8" fillId="8" borderId="15" xfId="0" applyFont="1" applyFill="1" applyBorder="1" applyAlignment="1">
      <alignment horizontal="center" vertical="center" wrapText="1"/>
    </xf>
    <xf numFmtId="166" fontId="7" fillId="11" borderId="0" xfId="0" applyNumberFormat="1"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wrapText="1"/>
    </xf>
    <xf numFmtId="9" fontId="7" fillId="0" borderId="0" xfId="0" applyNumberFormat="1" applyFont="1"/>
    <xf numFmtId="179" fontId="19" fillId="16" borderId="0" xfId="0" applyNumberFormat="1" applyFont="1" applyFill="1" applyBorder="1" applyAlignment="1">
      <alignment horizontal="right"/>
    </xf>
    <xf numFmtId="0" fontId="0" fillId="0" borderId="0" xfId="0" applyFont="1" applyFill="1" applyAlignment="1">
      <alignment vertical="top" wrapText="1"/>
    </xf>
    <xf numFmtId="0" fontId="0" fillId="0" borderId="0" xfId="0" applyFont="1" applyFill="1" applyAlignment="1">
      <alignment wrapText="1"/>
    </xf>
    <xf numFmtId="0" fontId="8" fillId="10" borderId="10" xfId="0" applyFont="1" applyFill="1" applyBorder="1" applyAlignment="1">
      <alignment horizontal="center" vertical="center" wrapText="1"/>
    </xf>
    <xf numFmtId="0" fontId="0" fillId="0" borderId="0" xfId="0" applyFill="1" applyAlignment="1">
      <alignment wrapText="1"/>
    </xf>
    <xf numFmtId="0" fontId="0" fillId="0" borderId="0" xfId="0" applyFont="1" applyFill="1" applyAlignment="1">
      <alignment vertical="top" wrapText="1"/>
    </xf>
    <xf numFmtId="0" fontId="0" fillId="0" borderId="0" xfId="0" applyFont="1" applyFill="1" applyAlignment="1">
      <alignment wrapText="1"/>
    </xf>
    <xf numFmtId="2" fontId="7" fillId="5" borderId="21" xfId="0" applyNumberFormat="1"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center"/>
    </xf>
    <xf numFmtId="0" fontId="0" fillId="0" borderId="0" xfId="0" applyFont="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horizontal="left" wrapText="1"/>
    </xf>
    <xf numFmtId="0" fontId="0" fillId="2" borderId="109" xfId="0" applyFont="1" applyFill="1" applyBorder="1"/>
    <xf numFmtId="0" fontId="0" fillId="0" borderId="124" xfId="0" applyBorder="1"/>
    <xf numFmtId="0" fontId="0" fillId="0" borderId="0" xfId="0" applyBorder="1"/>
    <xf numFmtId="0" fontId="0" fillId="0" borderId="125" xfId="0" applyBorder="1"/>
    <xf numFmtId="0" fontId="0" fillId="0" borderId="126" xfId="0" applyBorder="1"/>
    <xf numFmtId="0" fontId="0" fillId="0" borderId="127" xfId="0" applyBorder="1"/>
    <xf numFmtId="0" fontId="0" fillId="0" borderId="128" xfId="0" applyBorder="1"/>
    <xf numFmtId="0" fontId="6" fillId="0" borderId="121" xfId="0" applyFont="1" applyBorder="1" applyAlignment="1">
      <alignment wrapText="1"/>
    </xf>
    <xf numFmtId="0" fontId="6" fillId="0" borderId="123" xfId="0" applyFont="1" applyBorder="1" applyAlignment="1">
      <alignment wrapText="1"/>
    </xf>
    <xf numFmtId="0" fontId="6" fillId="0" borderId="122" xfId="0" applyFont="1" applyBorder="1" applyAlignment="1">
      <alignment wrapText="1"/>
    </xf>
    <xf numFmtId="2" fontId="0" fillId="0" borderId="0" xfId="0" applyNumberFormat="1"/>
    <xf numFmtId="2" fontId="0" fillId="0" borderId="0" xfId="0" applyNumberFormat="1" applyFont="1" applyAlignment="1">
      <alignment horizontal="center"/>
    </xf>
    <xf numFmtId="2" fontId="0" fillId="2" borderId="109" xfId="0" applyNumberFormat="1" applyFill="1" applyBorder="1"/>
    <xf numFmtId="0" fontId="0" fillId="0" borderId="0" xfId="0" quotePrefix="1" applyFont="1" applyFill="1" applyAlignment="1">
      <alignment horizontal="left" vertical="center"/>
    </xf>
    <xf numFmtId="0" fontId="5" fillId="0" borderId="0" xfId="2" applyAlignment="1"/>
    <xf numFmtId="2" fontId="7" fillId="7" borderId="57" xfId="0" applyNumberFormat="1" applyFont="1" applyFill="1" applyBorder="1" applyAlignment="1">
      <alignment horizontal="center" vertical="center"/>
    </xf>
    <xf numFmtId="0" fontId="0" fillId="0" borderId="0" xfId="0" applyFont="1" applyFill="1" applyAlignment="1">
      <alignment vertical="top" wrapText="1"/>
    </xf>
    <xf numFmtId="0" fontId="0" fillId="0" borderId="0" xfId="0" applyFont="1" applyFill="1" applyAlignment="1">
      <alignment wrapText="1"/>
    </xf>
    <xf numFmtId="0" fontId="48" fillId="0" borderId="0" xfId="63" applyFont="1" applyAlignment="1"/>
    <xf numFmtId="0" fontId="47" fillId="0" borderId="0" xfId="63"/>
    <xf numFmtId="0" fontId="47" fillId="0" borderId="0" xfId="63" applyAlignment="1">
      <alignment wrapText="1"/>
    </xf>
    <xf numFmtId="0" fontId="49" fillId="0" borderId="0" xfId="63" applyFont="1" applyAlignment="1">
      <alignment wrapText="1"/>
    </xf>
    <xf numFmtId="0" fontId="50" fillId="0" borderId="0" xfId="63" applyFont="1" applyAlignment="1"/>
    <xf numFmtId="0" fontId="50" fillId="0" borderId="6" xfId="63" applyFont="1" applyBorder="1" applyAlignment="1">
      <alignment horizontal="right"/>
    </xf>
    <xf numFmtId="0" fontId="48" fillId="0" borderId="2" xfId="63" applyFont="1" applyBorder="1"/>
    <xf numFmtId="180" fontId="48" fillId="0" borderId="2" xfId="63" applyNumberFormat="1" applyFont="1" applyBorder="1"/>
    <xf numFmtId="0" fontId="48" fillId="0" borderId="7" xfId="63" applyFont="1" applyBorder="1"/>
    <xf numFmtId="0" fontId="48" fillId="0" borderId="121" xfId="63" applyFont="1" applyBorder="1"/>
    <xf numFmtId="0" fontId="48" fillId="0" borderId="123" xfId="63" applyFont="1" applyBorder="1"/>
    <xf numFmtId="180" fontId="48" fillId="0" borderId="123" xfId="63" applyNumberFormat="1" applyFont="1" applyBorder="1"/>
    <xf numFmtId="0" fontId="47" fillId="0" borderId="123" xfId="63" applyBorder="1" applyAlignment="1">
      <alignment wrapText="1"/>
    </xf>
    <xf numFmtId="0" fontId="48" fillId="0" borderId="122" xfId="63" applyFont="1" applyBorder="1"/>
    <xf numFmtId="0" fontId="47" fillId="0" borderId="10" xfId="63" applyFont="1" applyBorder="1"/>
    <xf numFmtId="10" fontId="47" fillId="21" borderId="0" xfId="63" applyNumberFormat="1" applyFill="1" applyBorder="1"/>
    <xf numFmtId="10" fontId="47" fillId="0" borderId="0" xfId="63" applyNumberFormat="1" applyBorder="1"/>
    <xf numFmtId="10" fontId="47" fillId="21" borderId="8" xfId="63" applyNumberFormat="1" applyFill="1" applyBorder="1"/>
    <xf numFmtId="10" fontId="47" fillId="0" borderId="124" xfId="63" applyNumberFormat="1" applyBorder="1"/>
    <xf numFmtId="0" fontId="47" fillId="0" borderId="0" xfId="63" applyBorder="1" applyAlignment="1">
      <alignment wrapText="1"/>
    </xf>
    <xf numFmtId="10" fontId="47" fillId="21" borderId="125" xfId="63" applyNumberFormat="1" applyFill="1" applyBorder="1"/>
    <xf numFmtId="0" fontId="47" fillId="0" borderId="3" xfId="63" applyFont="1" applyBorder="1"/>
    <xf numFmtId="10" fontId="47" fillId="21" borderId="1" xfId="63" applyNumberFormat="1" applyFill="1" applyBorder="1" applyAlignment="1">
      <alignment wrapText="1"/>
    </xf>
    <xf numFmtId="10" fontId="47" fillId="0" borderId="1" xfId="63" applyNumberFormat="1" applyBorder="1" applyAlignment="1">
      <alignment wrapText="1"/>
    </xf>
    <xf numFmtId="10" fontId="47" fillId="21" borderId="1" xfId="63" applyNumberFormat="1" applyFill="1" applyBorder="1"/>
    <xf numFmtId="10" fontId="47" fillId="0" borderId="1" xfId="63" applyNumberFormat="1" applyBorder="1"/>
    <xf numFmtId="10" fontId="47" fillId="21" borderId="9" xfId="63" applyNumberFormat="1" applyFill="1" applyBorder="1"/>
    <xf numFmtId="10" fontId="47" fillId="0" borderId="126" xfId="63" applyNumberFormat="1" applyBorder="1"/>
    <xf numFmtId="10" fontId="47" fillId="0" borderId="127" xfId="63" applyNumberFormat="1" applyBorder="1"/>
    <xf numFmtId="0" fontId="47" fillId="0" borderId="127" xfId="63" applyBorder="1" applyAlignment="1">
      <alignment wrapText="1"/>
    </xf>
    <xf numFmtId="10" fontId="47" fillId="21" borderId="128" xfId="63" applyNumberFormat="1" applyFill="1" applyBorder="1"/>
    <xf numFmtId="0" fontId="51" fillId="0" borderId="0" xfId="63" applyFont="1"/>
    <xf numFmtId="0" fontId="50" fillId="22" borderId="0" xfId="63" applyFont="1" applyFill="1" applyAlignment="1"/>
    <xf numFmtId="0" fontId="47" fillId="22" borderId="0" xfId="63" applyFill="1" applyAlignment="1"/>
    <xf numFmtId="0" fontId="49" fillId="0" borderId="0" xfId="63" applyFont="1"/>
    <xf numFmtId="0" fontId="48" fillId="0" borderId="0" xfId="63" applyFont="1"/>
    <xf numFmtId="0" fontId="47" fillId="0" borderId="0" xfId="63" applyFont="1"/>
    <xf numFmtId="9" fontId="47" fillId="0" borderId="0" xfId="63" applyNumberFormat="1" applyFont="1"/>
    <xf numFmtId="0" fontId="47" fillId="0" borderId="0" xfId="63" applyFont="1" applyAlignment="1">
      <alignment wrapText="1"/>
    </xf>
    <xf numFmtId="9" fontId="47" fillId="0" borderId="0" xfId="63" applyNumberFormat="1"/>
    <xf numFmtId="0" fontId="47" fillId="0" borderId="0" xfId="63" applyAlignment="1"/>
    <xf numFmtId="10" fontId="47" fillId="0" borderId="0" xfId="63" applyNumberFormat="1"/>
    <xf numFmtId="0" fontId="47" fillId="0" borderId="0" xfId="63" applyFont="1" applyAlignment="1">
      <alignment horizontal="left"/>
    </xf>
    <xf numFmtId="10" fontId="48" fillId="0" borderId="0" xfId="63" applyNumberFormat="1" applyFont="1"/>
    <xf numFmtId="0" fontId="48" fillId="0" borderId="0" xfId="63" applyFont="1" applyAlignment="1">
      <alignment wrapText="1"/>
    </xf>
    <xf numFmtId="9" fontId="0" fillId="0" borderId="0" xfId="64" applyFont="1"/>
    <xf numFmtId="4" fontId="47" fillId="0" borderId="0" xfId="63" applyNumberFormat="1" applyAlignment="1">
      <alignment wrapText="1"/>
    </xf>
    <xf numFmtId="9" fontId="50" fillId="0" borderId="0" xfId="63" applyNumberFormat="1" applyFont="1" applyAlignment="1">
      <alignment wrapText="1"/>
    </xf>
    <xf numFmtId="165" fontId="0" fillId="0" borderId="0" xfId="64" applyNumberFormat="1" applyFont="1" applyAlignment="1">
      <alignment wrapText="1"/>
    </xf>
    <xf numFmtId="10" fontId="47" fillId="0" borderId="0" xfId="63" applyNumberFormat="1" applyAlignment="1">
      <alignment wrapText="1"/>
    </xf>
    <xf numFmtId="9" fontId="47" fillId="0" borderId="0" xfId="64" applyFont="1" applyAlignment="1">
      <alignment horizontal="right"/>
    </xf>
    <xf numFmtId="165" fontId="47" fillId="0" borderId="0" xfId="63" applyNumberFormat="1" applyAlignment="1">
      <alignment wrapText="1"/>
    </xf>
    <xf numFmtId="0" fontId="50" fillId="0" borderId="0" xfId="63" applyFont="1" applyAlignment="1">
      <alignment wrapText="1"/>
    </xf>
    <xf numFmtId="4" fontId="50" fillId="0" borderId="0" xfId="63" applyNumberFormat="1" applyFont="1" applyAlignment="1">
      <alignment wrapText="1"/>
    </xf>
    <xf numFmtId="9" fontId="47" fillId="0" borderId="0" xfId="63" applyNumberFormat="1" applyAlignment="1">
      <alignment wrapText="1"/>
    </xf>
    <xf numFmtId="0" fontId="51" fillId="0" borderId="0" xfId="63" applyFont="1" applyAlignment="1"/>
    <xf numFmtId="3" fontId="50" fillId="0" borderId="0" xfId="63" applyNumberFormat="1" applyFont="1" applyAlignment="1">
      <alignment wrapText="1"/>
    </xf>
    <xf numFmtId="165" fontId="0" fillId="0" borderId="0" xfId="64" applyNumberFormat="1" applyFont="1"/>
    <xf numFmtId="2" fontId="47" fillId="0" borderId="0" xfId="63" applyNumberFormat="1" applyAlignment="1">
      <alignment wrapText="1"/>
    </xf>
    <xf numFmtId="9" fontId="47" fillId="0" borderId="0" xfId="63" applyNumberFormat="1" applyFont="1" applyAlignment="1">
      <alignment horizontal="left"/>
    </xf>
    <xf numFmtId="9" fontId="0" fillId="0" borderId="0" xfId="64" applyNumberFormat="1" applyFont="1"/>
    <xf numFmtId="9" fontId="51" fillId="0" borderId="0" xfId="63" applyNumberFormat="1" applyFont="1" applyAlignment="1"/>
    <xf numFmtId="0" fontId="47" fillId="0" borderId="0" xfId="63" applyFont="1" applyAlignment="1"/>
    <xf numFmtId="0" fontId="0" fillId="0" borderId="0" xfId="64" applyNumberFormat="1" applyFont="1"/>
    <xf numFmtId="0" fontId="47" fillId="0" borderId="0" xfId="63" applyNumberFormat="1"/>
    <xf numFmtId="0" fontId="47" fillId="0" borderId="0" xfId="63" applyFont="1" applyAlignment="1">
      <alignment horizontal="right"/>
    </xf>
    <xf numFmtId="3" fontId="47" fillId="0" borderId="0" xfId="63" applyNumberFormat="1" applyAlignment="1">
      <alignment wrapText="1"/>
    </xf>
    <xf numFmtId="10" fontId="47" fillId="0" borderId="0" xfId="63" applyNumberFormat="1" applyAlignment="1">
      <alignment horizontal="right"/>
    </xf>
    <xf numFmtId="3" fontId="47" fillId="0" borderId="0" xfId="63" applyNumberFormat="1" applyFont="1" applyAlignment="1">
      <alignment wrapText="1"/>
    </xf>
    <xf numFmtId="2" fontId="47" fillId="0" borderId="0" xfId="63" applyNumberFormat="1"/>
    <xf numFmtId="172" fontId="47" fillId="0" borderId="0" xfId="63" applyNumberFormat="1" applyAlignment="1">
      <alignment wrapText="1"/>
    </xf>
    <xf numFmtId="0" fontId="5" fillId="0" borderId="0" xfId="2" quotePrefix="1" applyFill="1"/>
    <xf numFmtId="0" fontId="0" fillId="0" borderId="0" xfId="0" applyFont="1" applyFill="1" applyAlignment="1">
      <alignment wrapText="1"/>
    </xf>
    <xf numFmtId="165" fontId="47" fillId="0" borderId="0" xfId="63" applyNumberFormat="1"/>
    <xf numFmtId="165" fontId="47" fillId="0" borderId="0" xfId="64" applyNumberFormat="1" applyFont="1" applyAlignment="1">
      <alignment horizontal="right"/>
    </xf>
    <xf numFmtId="165" fontId="52" fillId="0" borderId="0" xfId="63" applyNumberFormat="1" applyFont="1" applyFill="1"/>
    <xf numFmtId="165" fontId="47" fillId="0" borderId="0" xfId="3" applyNumberFormat="1" applyFont="1"/>
    <xf numFmtId="165" fontId="47" fillId="0" borderId="0" xfId="3" applyNumberFormat="1" applyFont="1" applyAlignment="1">
      <alignment wrapText="1"/>
    </xf>
    <xf numFmtId="0" fontId="0" fillId="0" borderId="0" xfId="0" applyBorder="1" applyAlignment="1">
      <alignment wrapText="1"/>
    </xf>
    <xf numFmtId="0" fontId="7" fillId="18" borderId="0" xfId="0" applyFont="1" applyFill="1" applyBorder="1" applyAlignment="1">
      <alignment wrapText="1"/>
    </xf>
    <xf numFmtId="4" fontId="7" fillId="18" borderId="8" xfId="0" applyNumberFormat="1" applyFont="1" applyFill="1" applyBorder="1" applyAlignment="1">
      <alignment vertical="center"/>
    </xf>
    <xf numFmtId="0" fontId="8" fillId="3" borderId="20" xfId="0" applyFont="1" applyFill="1" applyBorder="1" applyAlignment="1">
      <alignment horizontal="center" vertical="center" wrapText="1"/>
    </xf>
    <xf numFmtId="9" fontId="7" fillId="5" borderId="21" xfId="0" applyNumberFormat="1" applyFont="1" applyFill="1" applyBorder="1" applyAlignment="1">
      <alignment horizontal="center" vertical="center"/>
    </xf>
    <xf numFmtId="0" fontId="8" fillId="6"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166" fontId="7" fillId="11" borderId="0" xfId="0" applyNumberFormat="1" applyFont="1" applyFill="1" applyBorder="1" applyAlignment="1">
      <alignment horizontal="center"/>
    </xf>
    <xf numFmtId="0" fontId="8" fillId="10"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166" fontId="7" fillId="11" borderId="0" xfId="0" applyNumberFormat="1" applyFont="1" applyFill="1" applyBorder="1" applyAlignment="1">
      <alignment horizontal="center" vertical="center"/>
    </xf>
    <xf numFmtId="0" fontId="13" fillId="4" borderId="0" xfId="0" applyFont="1" applyFill="1" applyBorder="1" applyAlignment="1">
      <alignment horizontal="right" vertical="center"/>
    </xf>
    <xf numFmtId="0" fontId="8" fillId="4" borderId="2"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10" borderId="6" xfId="0" applyFont="1" applyFill="1" applyBorder="1" applyAlignment="1">
      <alignment horizontal="center" vertical="center" wrapText="1"/>
    </xf>
    <xf numFmtId="2" fontId="7" fillId="11" borderId="0" xfId="0" applyNumberFormat="1" applyFont="1" applyFill="1" applyBorder="1" applyAlignment="1">
      <alignment horizontal="center" vertical="center"/>
    </xf>
    <xf numFmtId="164" fontId="7" fillId="12" borderId="32" xfId="1" applyNumberFormat="1" applyFont="1" applyFill="1" applyBorder="1" applyAlignment="1">
      <alignment horizontal="center" vertical="center"/>
    </xf>
    <xf numFmtId="0" fontId="8" fillId="8" borderId="60"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7" fillId="18" borderId="0" xfId="0" applyFont="1" applyFill="1" applyBorder="1" applyAlignment="1">
      <alignment wrapText="1"/>
    </xf>
    <xf numFmtId="0" fontId="8" fillId="10" borderId="3" xfId="0" applyFont="1" applyFill="1" applyBorder="1" applyAlignment="1">
      <alignment horizontal="center" vertical="center" wrapText="1"/>
    </xf>
    <xf numFmtId="0" fontId="8" fillId="8" borderId="15" xfId="0" applyFont="1" applyFill="1" applyBorder="1" applyAlignment="1">
      <alignment horizontal="center" vertical="center" wrapText="1"/>
    </xf>
    <xf numFmtId="164" fontId="7" fillId="12" borderId="32" xfId="1" applyNumberFormat="1" applyFont="1" applyFill="1" applyBorder="1" applyAlignment="1">
      <alignment horizontal="center" vertical="center"/>
    </xf>
    <xf numFmtId="0" fontId="8" fillId="8" borderId="60"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2" fontId="7" fillId="11" borderId="0" xfId="0" applyNumberFormat="1" applyFont="1" applyFill="1" applyBorder="1" applyAlignment="1">
      <alignment horizontal="center" vertical="center"/>
    </xf>
    <xf numFmtId="166" fontId="7" fillId="11" borderId="0" xfId="0" applyNumberFormat="1" applyFont="1" applyFill="1" applyBorder="1" applyAlignment="1">
      <alignment horizontal="center" vertical="center"/>
    </xf>
    <xf numFmtId="0" fontId="13" fillId="4" borderId="0" xfId="0" applyFont="1" applyFill="1" applyBorder="1" applyAlignment="1">
      <alignment horizontal="right" vertical="center"/>
    </xf>
    <xf numFmtId="0" fontId="8" fillId="4"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166" fontId="7" fillId="11" borderId="0" xfId="0" applyNumberFormat="1" applyFont="1" applyFill="1" applyBorder="1" applyAlignment="1">
      <alignment horizontal="center"/>
    </xf>
    <xf numFmtId="0" fontId="8" fillId="3" borderId="20" xfId="0" applyFont="1" applyFill="1" applyBorder="1" applyAlignment="1">
      <alignment horizontal="center" vertical="center" wrapText="1"/>
    </xf>
    <xf numFmtId="9" fontId="7" fillId="5" borderId="21" xfId="0" applyNumberFormat="1" applyFont="1" applyFill="1" applyBorder="1" applyAlignment="1">
      <alignment horizontal="center" vertical="center"/>
    </xf>
    <xf numFmtId="0" fontId="8" fillId="6" borderId="29" xfId="0" applyFont="1" applyFill="1" applyBorder="1" applyAlignment="1">
      <alignment horizontal="center" vertical="center" wrapText="1"/>
    </xf>
    <xf numFmtId="0" fontId="7" fillId="18" borderId="0" xfId="0" applyFont="1" applyFill="1" applyBorder="1" applyAlignment="1">
      <alignment wrapText="1"/>
    </xf>
    <xf numFmtId="0" fontId="8" fillId="8" borderId="1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 fillId="4" borderId="0" xfId="0" applyFont="1" applyFill="1"/>
    <xf numFmtId="174" fontId="7" fillId="4" borderId="0" xfId="0" applyNumberFormat="1" applyFont="1" applyFill="1"/>
    <xf numFmtId="9" fontId="9" fillId="5" borderId="65" xfId="0" applyNumberFormat="1" applyFont="1" applyFill="1" applyBorder="1" applyAlignment="1">
      <alignment horizontal="center" vertical="center"/>
    </xf>
    <xf numFmtId="10" fontId="9" fillId="5" borderId="14" xfId="0" applyNumberFormat="1" applyFont="1" applyFill="1" applyBorder="1" applyAlignment="1">
      <alignment horizontal="center" vertical="center"/>
    </xf>
    <xf numFmtId="9" fontId="9" fillId="5" borderId="63" xfId="0" applyNumberFormat="1" applyFont="1" applyFill="1" applyBorder="1" applyAlignment="1">
      <alignment horizontal="center" vertical="center"/>
    </xf>
    <xf numFmtId="9" fontId="9" fillId="5" borderId="14" xfId="0" applyNumberFormat="1" applyFont="1" applyFill="1" applyBorder="1" applyAlignment="1">
      <alignment horizontal="center" vertical="center"/>
    </xf>
    <xf numFmtId="9" fontId="9" fillId="5" borderId="21" xfId="0" applyNumberFormat="1" applyFont="1" applyFill="1" applyBorder="1" applyAlignment="1">
      <alignment horizontal="center" vertical="center"/>
    </xf>
    <xf numFmtId="4" fontId="9" fillId="5" borderId="21" xfId="0" applyNumberFormat="1" applyFont="1" applyFill="1" applyBorder="1" applyAlignment="1">
      <alignment horizontal="center" vertical="center"/>
    </xf>
    <xf numFmtId="9" fontId="9" fillId="5" borderId="55" xfId="0" applyNumberFormat="1" applyFont="1" applyFill="1" applyBorder="1" applyAlignment="1">
      <alignment horizontal="center" vertical="center"/>
    </xf>
    <xf numFmtId="165" fontId="9" fillId="7" borderId="57" xfId="0" applyNumberFormat="1" applyFont="1" applyFill="1" applyBorder="1" applyAlignment="1">
      <alignment horizontal="center" vertical="center"/>
    </xf>
    <xf numFmtId="9" fontId="9" fillId="7" borderId="55" xfId="3" applyFont="1" applyFill="1" applyBorder="1" applyAlignment="1">
      <alignment horizontal="center" vertical="center"/>
    </xf>
    <xf numFmtId="1" fontId="0" fillId="0" borderId="0" xfId="0" applyNumberFormat="1"/>
    <xf numFmtId="1" fontId="0" fillId="0" borderId="0" xfId="0" applyNumberFormat="1" applyFont="1"/>
    <xf numFmtId="178" fontId="0" fillId="0" borderId="0" xfId="0" applyNumberFormat="1"/>
    <xf numFmtId="166" fontId="0" fillId="0" borderId="0" xfId="0" applyNumberFormat="1" applyFont="1"/>
    <xf numFmtId="0" fontId="8" fillId="8" borderId="60" xfId="0" applyFont="1" applyFill="1" applyBorder="1" applyAlignment="1">
      <alignment horizontal="center" vertical="center" wrapText="1"/>
    </xf>
    <xf numFmtId="0" fontId="8" fillId="8" borderId="61" xfId="0" applyFont="1" applyFill="1" applyBorder="1" applyAlignment="1">
      <alignment horizontal="center" vertical="center" wrapText="1"/>
    </xf>
    <xf numFmtId="164" fontId="7" fillId="12" borderId="32" xfId="1" applyNumberFormat="1" applyFont="1" applyFill="1" applyBorder="1" applyAlignment="1">
      <alignment horizontal="center" vertical="center"/>
    </xf>
    <xf numFmtId="0" fontId="8" fillId="6" borderId="38"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3" borderId="20" xfId="0" applyFont="1" applyFill="1" applyBorder="1" applyAlignment="1">
      <alignment horizontal="center" vertical="center" wrapText="1"/>
    </xf>
    <xf numFmtId="9" fontId="7" fillId="5" borderId="21" xfId="0" applyNumberFormat="1" applyFont="1" applyFill="1" applyBorder="1" applyAlignment="1">
      <alignment horizontal="center" vertical="center"/>
    </xf>
    <xf numFmtId="0" fontId="13" fillId="4" borderId="0" xfId="0" applyFont="1" applyFill="1" applyBorder="1" applyAlignment="1">
      <alignment horizontal="right" vertical="center"/>
    </xf>
    <xf numFmtId="166" fontId="7" fillId="11" borderId="0" xfId="0" applyNumberFormat="1" applyFont="1" applyFill="1" applyBorder="1" applyAlignment="1">
      <alignment horizontal="center" vertical="center"/>
    </xf>
    <xf numFmtId="2" fontId="7" fillId="11" borderId="0" xfId="0" applyNumberFormat="1" applyFont="1" applyFill="1" applyBorder="1" applyAlignment="1">
      <alignment horizontal="center" vertical="center"/>
    </xf>
    <xf numFmtId="166" fontId="7" fillId="11" borderId="0" xfId="0" applyNumberFormat="1" applyFont="1" applyFill="1" applyBorder="1" applyAlignment="1">
      <alignment horizontal="center"/>
    </xf>
    <xf numFmtId="0" fontId="8" fillId="2" borderId="0" xfId="0" applyFont="1" applyFill="1" applyBorder="1" applyAlignment="1">
      <alignment horizontal="center" vertical="center" wrapText="1"/>
    </xf>
    <xf numFmtId="0" fontId="7" fillId="18" borderId="0" xfId="0" applyFont="1" applyFill="1" applyBorder="1" applyAlignment="1">
      <alignment wrapText="1"/>
    </xf>
    <xf numFmtId="0" fontId="8" fillId="8" borderId="15" xfId="0" applyFont="1" applyFill="1" applyBorder="1" applyAlignment="1">
      <alignment horizontal="center" vertical="center" wrapText="1"/>
    </xf>
    <xf numFmtId="0" fontId="8" fillId="10" borderId="3" xfId="0" applyFont="1" applyFill="1" applyBorder="1" applyAlignment="1">
      <alignment horizontal="center" vertical="center" wrapText="1"/>
    </xf>
    <xf numFmtId="1" fontId="7" fillId="7" borderId="127" xfId="0" applyNumberFormat="1" applyFont="1" applyFill="1" applyBorder="1" applyAlignment="1">
      <alignment horizontal="center" vertical="center"/>
    </xf>
    <xf numFmtId="1" fontId="7" fillId="3" borderId="111" xfId="0" applyNumberFormat="1" applyFont="1" applyFill="1" applyBorder="1" applyAlignment="1">
      <alignment vertical="center"/>
    </xf>
    <xf numFmtId="0" fontId="7" fillId="5" borderId="139" xfId="0" applyFont="1" applyFill="1" applyBorder="1" applyAlignment="1">
      <alignment horizontal="center" vertical="center"/>
    </xf>
    <xf numFmtId="2" fontId="7" fillId="4" borderId="0" xfId="0" applyNumberFormat="1" applyFont="1" applyFill="1"/>
    <xf numFmtId="2" fontId="7" fillId="11" borderId="127" xfId="0" applyNumberFormat="1" applyFont="1" applyFill="1" applyBorder="1" applyAlignment="1">
      <alignment horizontal="center" vertical="center"/>
    </xf>
    <xf numFmtId="2" fontId="7" fillId="11" borderId="126" xfId="0" applyNumberFormat="1" applyFont="1" applyFill="1" applyBorder="1" applyAlignment="1">
      <alignment horizontal="center" vertical="center"/>
    </xf>
    <xf numFmtId="0" fontId="7" fillId="4" borderId="138" xfId="0" applyFont="1" applyFill="1" applyBorder="1"/>
    <xf numFmtId="0" fontId="7" fillId="4" borderId="0" xfId="0" applyFont="1" applyFill="1" applyAlignment="1">
      <alignment horizontal="left" vertical="center"/>
    </xf>
    <xf numFmtId="0" fontId="8" fillId="14" borderId="0" xfId="0" applyFont="1" applyFill="1" applyBorder="1" applyAlignment="1">
      <alignment horizontal="left" vertical="center"/>
    </xf>
    <xf numFmtId="177" fontId="7" fillId="16" borderId="0" xfId="0" applyNumberFormat="1" applyFont="1" applyFill="1" applyBorder="1" applyAlignment="1">
      <alignment horizontal="center"/>
    </xf>
    <xf numFmtId="0" fontId="8" fillId="14" borderId="0" xfId="0" applyFont="1" applyFill="1" applyBorder="1" applyAlignment="1"/>
    <xf numFmtId="0" fontId="8" fillId="14" borderId="8" xfId="0" applyFont="1" applyFill="1" applyBorder="1" applyAlignment="1"/>
    <xf numFmtId="177" fontId="7" fillId="16" borderId="1" xfId="0" applyNumberFormat="1" applyFont="1" applyFill="1" applyBorder="1" applyAlignment="1">
      <alignment horizontal="center"/>
    </xf>
    <xf numFmtId="0" fontId="8" fillId="14" borderId="1" xfId="0" applyFont="1" applyFill="1" applyBorder="1" applyAlignment="1"/>
    <xf numFmtId="0" fontId="8" fillId="14" borderId="9" xfId="0" applyFont="1" applyFill="1" applyBorder="1" applyAlignment="1"/>
    <xf numFmtId="9" fontId="7" fillId="4" borderId="0" xfId="3" applyFont="1" applyFill="1"/>
    <xf numFmtId="0" fontId="0" fillId="0" borderId="6" xfId="0" applyFont="1" applyBorder="1"/>
    <xf numFmtId="0" fontId="0" fillId="0" borderId="2" xfId="0" applyFont="1" applyBorder="1"/>
    <xf numFmtId="0" fontId="0" fillId="0" borderId="7" xfId="0" applyFont="1" applyBorder="1"/>
    <xf numFmtId="0" fontId="0" fillId="0" borderId="10" xfId="0" applyFont="1" applyBorder="1"/>
    <xf numFmtId="0" fontId="0" fillId="0" borderId="0" xfId="0" applyFont="1" applyBorder="1"/>
    <xf numFmtId="0" fontId="0" fillId="0" borderId="8" xfId="0" applyFont="1" applyBorder="1"/>
    <xf numFmtId="164" fontId="0" fillId="0" borderId="0" xfId="0" applyNumberFormat="1" applyFont="1" applyFill="1" applyBorder="1"/>
    <xf numFmtId="2" fontId="0" fillId="0" borderId="0" xfId="0" applyNumberFormat="1" applyFont="1" applyBorder="1"/>
    <xf numFmtId="2" fontId="0" fillId="0" borderId="1" xfId="0" applyNumberFormat="1" applyFont="1" applyBorder="1"/>
    <xf numFmtId="2" fontId="0" fillId="0" borderId="8" xfId="0" applyNumberFormat="1" applyFont="1" applyBorder="1"/>
    <xf numFmtId="2" fontId="0" fillId="0" borderId="9" xfId="0" applyNumberFormat="1" applyFont="1" applyBorder="1"/>
    <xf numFmtId="2" fontId="0" fillId="0" borderId="0" xfId="1" applyNumberFormat="1" applyFont="1" applyFill="1"/>
    <xf numFmtId="0" fontId="37" fillId="0" borderId="0" xfId="0" applyFont="1" applyFill="1"/>
    <xf numFmtId="9" fontId="0" fillId="0" borderId="0" xfId="0" applyNumberFormat="1" applyFill="1"/>
    <xf numFmtId="1" fontId="0" fillId="0" borderId="0" xfId="0" applyNumberFormat="1" applyFill="1"/>
    <xf numFmtId="2" fontId="0" fillId="0" borderId="0" xfId="0" applyNumberFormat="1" applyFill="1"/>
    <xf numFmtId="0" fontId="0" fillId="0" borderId="10" xfId="0" applyFont="1" applyFill="1" applyBorder="1"/>
    <xf numFmtId="2" fontId="0" fillId="0" borderId="0" xfId="0" applyNumberFormat="1" applyFont="1" applyFill="1" applyBorder="1"/>
    <xf numFmtId="0" fontId="0" fillId="0" borderId="3" xfId="0" applyFont="1" applyFill="1" applyBorder="1"/>
    <xf numFmtId="164" fontId="0" fillId="0" borderId="1" xfId="0" applyNumberFormat="1" applyFont="1" applyFill="1" applyBorder="1"/>
    <xf numFmtId="2" fontId="0" fillId="0" borderId="1" xfId="0" applyNumberFormat="1" applyFont="1" applyFill="1" applyBorder="1"/>
    <xf numFmtId="0" fontId="7" fillId="0" borderId="0" xfId="0" applyFont="1" applyFill="1"/>
    <xf numFmtId="2" fontId="30" fillId="0" borderId="0" xfId="0" applyNumberFormat="1" applyFont="1" applyFill="1"/>
    <xf numFmtId="182" fontId="0" fillId="0" borderId="0" xfId="0" applyNumberFormat="1" applyFill="1"/>
    <xf numFmtId="2" fontId="37" fillId="0" borderId="0" xfId="0" applyNumberFormat="1" applyFont="1" applyFill="1"/>
    <xf numFmtId="0" fontId="28" fillId="0" borderId="0" xfId="0" applyFont="1" applyFill="1"/>
    <xf numFmtId="0" fontId="0" fillId="0" borderId="0" xfId="0" applyFont="1" applyFill="1" applyAlignment="1">
      <alignment wrapText="1"/>
    </xf>
    <xf numFmtId="0" fontId="37" fillId="0" borderId="0" xfId="0" applyFont="1" applyFill="1" applyAlignment="1"/>
    <xf numFmtId="2" fontId="0" fillId="0" borderId="124" xfId="1" applyNumberFormat="1" applyFont="1" applyFill="1" applyBorder="1"/>
    <xf numFmtId="183" fontId="7" fillId="11" borderId="128" xfId="3" applyNumberFormat="1" applyFont="1" applyFill="1" applyBorder="1" applyAlignment="1">
      <alignment horizontal="center" vertical="center"/>
    </xf>
    <xf numFmtId="10" fontId="7" fillId="4" borderId="8" xfId="0" applyNumberFormat="1" applyFont="1" applyFill="1" applyBorder="1"/>
    <xf numFmtId="43" fontId="7" fillId="4" borderId="8" xfId="169" applyFont="1" applyFill="1" applyBorder="1"/>
    <xf numFmtId="184" fontId="0" fillId="0" borderId="0" xfId="1" applyNumberFormat="1" applyFont="1" applyFill="1"/>
    <xf numFmtId="0" fontId="14" fillId="20" borderId="0" xfId="0" applyFont="1" applyFill="1" applyBorder="1" applyAlignment="1">
      <alignment horizontal="center" vertical="center" wrapText="1"/>
    </xf>
    <xf numFmtId="0" fontId="0" fillId="0" borderId="0" xfId="0" applyAlignment="1">
      <alignment horizontal="center" vertical="center"/>
    </xf>
    <xf numFmtId="0" fontId="14" fillId="14" borderId="78" xfId="0" applyFont="1" applyFill="1" applyBorder="1" applyAlignment="1">
      <alignment horizontal="center" vertical="center" wrapText="1"/>
    </xf>
    <xf numFmtId="0" fontId="0" fillId="0" borderId="91" xfId="0" applyBorder="1" applyAlignment="1">
      <alignment horizontal="center" vertical="center" wrapText="1"/>
    </xf>
    <xf numFmtId="0" fontId="8" fillId="3" borderId="101" xfId="0" applyFont="1" applyFill="1" applyBorder="1" applyAlignment="1">
      <alignment horizontal="center" vertical="center" wrapText="1"/>
    </xf>
    <xf numFmtId="0" fontId="8" fillId="3" borderId="102" xfId="0" applyFont="1" applyFill="1" applyBorder="1" applyAlignment="1">
      <alignment horizontal="center" vertical="center" wrapText="1"/>
    </xf>
    <xf numFmtId="0" fontId="8" fillId="3" borderId="10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4" fillId="20" borderId="117" xfId="0" applyFont="1" applyFill="1" applyBorder="1" applyAlignment="1">
      <alignment horizontal="center" vertical="center" wrapText="1"/>
    </xf>
    <xf numFmtId="0" fontId="0" fillId="20" borderId="89" xfId="0" applyFill="1" applyBorder="1" applyAlignment="1">
      <alignment horizontal="center" vertical="center" wrapText="1"/>
    </xf>
    <xf numFmtId="0" fontId="0" fillId="0" borderId="89" xfId="0" applyBorder="1" applyAlignment="1"/>
    <xf numFmtId="0" fontId="8" fillId="3" borderId="103" xfId="0" applyFont="1" applyFill="1" applyBorder="1" applyAlignment="1">
      <alignment horizontal="center" vertical="center" wrapText="1"/>
    </xf>
    <xf numFmtId="0" fontId="0" fillId="0" borderId="104" xfId="0" applyBorder="1" applyAlignment="1">
      <alignment horizontal="center" vertical="center" wrapText="1"/>
    </xf>
    <xf numFmtId="0" fontId="14" fillId="14" borderId="89"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75" xfId="0" applyBorder="1" applyAlignment="1">
      <alignment horizontal="center" vertical="center" wrapText="1"/>
    </xf>
    <xf numFmtId="0" fontId="14" fillId="14" borderId="90" xfId="0" applyFont="1" applyFill="1" applyBorder="1" applyAlignment="1">
      <alignment horizontal="center" vertical="center" wrapText="1"/>
    </xf>
    <xf numFmtId="0" fontId="14" fillId="14" borderId="98" xfId="0" applyFont="1" applyFill="1" applyBorder="1" applyAlignment="1">
      <alignment horizontal="center" vertical="center" wrapText="1"/>
    </xf>
    <xf numFmtId="0" fontId="0" fillId="0" borderId="0" xfId="0" applyBorder="1" applyAlignment="1">
      <alignment horizontal="center" vertical="center" wrapText="1"/>
    </xf>
    <xf numFmtId="0" fontId="0" fillId="0" borderId="99" xfId="0" applyBorder="1" applyAlignment="1"/>
    <xf numFmtId="0" fontId="14" fillId="14" borderId="87" xfId="0" applyFont="1" applyFill="1" applyBorder="1" applyAlignment="1">
      <alignment horizontal="center" vertical="center" wrapText="1"/>
    </xf>
    <xf numFmtId="0" fontId="0" fillId="0" borderId="87" xfId="0" applyBorder="1" applyAlignment="1">
      <alignment horizontal="center" vertical="center" wrapText="1"/>
    </xf>
    <xf numFmtId="0" fontId="14" fillId="14" borderId="88" xfId="0" applyFont="1" applyFill="1" applyBorder="1" applyAlignment="1">
      <alignment horizontal="center" vertical="center" wrapText="1"/>
    </xf>
    <xf numFmtId="0" fontId="0" fillId="0" borderId="88" xfId="0"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5" fillId="0" borderId="0" xfId="2" applyFill="1" applyAlignment="1">
      <alignment horizontal="left" vertical="center"/>
    </xf>
    <xf numFmtId="0" fontId="5" fillId="0" borderId="0" xfId="2" applyFill="1" applyAlignment="1">
      <alignment horizontal="left" vertical="center" wrapText="1"/>
    </xf>
    <xf numFmtId="0" fontId="6" fillId="0" borderId="0" xfId="0" applyFont="1" applyFill="1" applyAlignment="1">
      <alignment horizontal="center"/>
    </xf>
    <xf numFmtId="0" fontId="25" fillId="0" borderId="0" xfId="0" applyFont="1" applyAlignment="1">
      <alignment horizontal="left"/>
    </xf>
    <xf numFmtId="0" fontId="0" fillId="0" borderId="0" xfId="0" applyFont="1" applyFill="1" applyAlignment="1">
      <alignment vertical="top" wrapText="1"/>
    </xf>
    <xf numFmtId="0" fontId="0" fillId="0" borderId="0" xfId="0" applyFill="1" applyAlignment="1">
      <alignment vertical="top"/>
    </xf>
    <xf numFmtId="0" fontId="0" fillId="0" borderId="0" xfId="0" applyFont="1" applyFill="1" applyAlignment="1">
      <alignment wrapText="1"/>
    </xf>
    <xf numFmtId="0" fontId="0" fillId="0" borderId="0" xfId="0" applyFill="1" applyAlignment="1">
      <alignment wrapText="1"/>
    </xf>
    <xf numFmtId="0" fontId="0" fillId="0" borderId="0" xfId="0" applyAlignment="1">
      <alignment horizontal="left" wrapText="1"/>
    </xf>
    <xf numFmtId="0" fontId="0" fillId="0" borderId="124" xfId="0" applyBorder="1" applyAlignment="1">
      <alignment horizontal="left" wrapText="1"/>
    </xf>
    <xf numFmtId="0" fontId="0" fillId="0" borderId="0" xfId="0" applyBorder="1" applyAlignment="1">
      <alignment horizontal="left" wrapText="1"/>
    </xf>
    <xf numFmtId="0" fontId="0" fillId="2" borderId="120" xfId="0" applyFont="1" applyFill="1" applyBorder="1" applyAlignment="1">
      <alignment horizontal="left" wrapText="1"/>
    </xf>
    <xf numFmtId="0" fontId="0" fillId="2" borderId="129" xfId="0" applyFont="1" applyFill="1" applyBorder="1" applyAlignment="1">
      <alignment horizontal="left" wrapText="1"/>
    </xf>
    <xf numFmtId="0" fontId="0" fillId="2" borderId="130" xfId="0" applyFont="1" applyFill="1" applyBorder="1" applyAlignment="1">
      <alignment horizontal="left" wrapText="1"/>
    </xf>
    <xf numFmtId="0" fontId="0" fillId="2" borderId="120" xfId="0" applyFill="1" applyBorder="1" applyAlignment="1">
      <alignment horizontal="right"/>
    </xf>
    <xf numFmtId="0" fontId="0" fillId="2" borderId="129" xfId="0" applyFill="1" applyBorder="1" applyAlignment="1">
      <alignment horizontal="right"/>
    </xf>
    <xf numFmtId="0" fontId="0" fillId="2" borderId="130" xfId="0" applyFill="1" applyBorder="1" applyAlignment="1">
      <alignment horizontal="right"/>
    </xf>
    <xf numFmtId="0" fontId="6" fillId="0" borderId="0" xfId="0" applyFont="1" applyAlignment="1">
      <alignment horizontal="center"/>
    </xf>
    <xf numFmtId="0" fontId="6" fillId="0" borderId="0" xfId="0" applyFont="1" applyAlignment="1">
      <alignment horizontal="center" wrapText="1"/>
    </xf>
    <xf numFmtId="0" fontId="30" fillId="14" borderId="109" xfId="0" applyFont="1" applyFill="1" applyBorder="1" applyAlignment="1">
      <alignment horizontal="left" wrapText="1"/>
    </xf>
    <xf numFmtId="0" fontId="30" fillId="14" borderId="109" xfId="0" applyFont="1" applyFill="1" applyBorder="1" applyAlignment="1">
      <alignment horizontal="center"/>
    </xf>
    <xf numFmtId="0" fontId="21" fillId="4" borderId="6" xfId="0" applyFont="1" applyFill="1" applyBorder="1" applyAlignment="1">
      <alignment horizontal="center"/>
    </xf>
    <xf numFmtId="0" fontId="21" fillId="4" borderId="7" xfId="0" applyFont="1" applyFill="1" applyBorder="1" applyAlignment="1">
      <alignment horizontal="center"/>
    </xf>
    <xf numFmtId="0" fontId="21" fillId="4" borderId="10" xfId="0" applyFont="1" applyFill="1" applyBorder="1" applyAlignment="1">
      <alignment horizontal="center"/>
    </xf>
    <xf numFmtId="0" fontId="21" fillId="4" borderId="8" xfId="0" applyFont="1" applyFill="1" applyBorder="1" applyAlignment="1">
      <alignment horizontal="center"/>
    </xf>
    <xf numFmtId="0" fontId="17" fillId="4" borderId="6" xfId="0" applyFont="1" applyFill="1" applyBorder="1" applyAlignment="1">
      <alignment horizontal="center" vertical="center" wrapText="1"/>
    </xf>
    <xf numFmtId="0" fontId="0" fillId="4" borderId="2" xfId="0" applyFill="1" applyBorder="1" applyAlignment="1"/>
    <xf numFmtId="0" fontId="0" fillId="4" borderId="7" xfId="0" applyFill="1" applyBorder="1" applyAlignment="1"/>
    <xf numFmtId="0" fontId="0" fillId="4" borderId="10" xfId="0" applyFill="1" applyBorder="1" applyAlignment="1"/>
    <xf numFmtId="0" fontId="0" fillId="4" borderId="0" xfId="0" applyFill="1" applyBorder="1" applyAlignment="1"/>
    <xf numFmtId="0" fontId="0" fillId="4" borderId="8" xfId="0" applyFill="1" applyBorder="1" applyAlignment="1"/>
    <xf numFmtId="0" fontId="13" fillId="4" borderId="0" xfId="0" applyFont="1" applyFill="1" applyAlignment="1">
      <alignment horizontal="left" vertical="top" wrapText="1"/>
    </xf>
    <xf numFmtId="0" fontId="13" fillId="4" borderId="1" xfId="0" applyFont="1" applyFill="1" applyBorder="1" applyAlignment="1">
      <alignment horizontal="left" vertical="top" wrapText="1"/>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9"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178" fontId="7" fillId="11" borderId="0" xfId="3" applyNumberFormat="1" applyFont="1" applyFill="1" applyBorder="1" applyAlignment="1">
      <alignment horizontal="center" vertical="center"/>
    </xf>
    <xf numFmtId="166" fontId="7" fillId="11" borderId="0" xfId="0" applyNumberFormat="1" applyFont="1" applyFill="1" applyBorder="1" applyAlignment="1">
      <alignment horizontal="center"/>
    </xf>
    <xf numFmtId="0" fontId="0" fillId="0" borderId="8" xfId="0" applyBorder="1" applyAlignment="1">
      <alignment horizontal="center"/>
    </xf>
    <xf numFmtId="0" fontId="16" fillId="13"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4" fillId="10" borderId="46" xfId="0" applyFont="1" applyFill="1" applyBorder="1" applyAlignment="1">
      <alignment horizontal="center"/>
    </xf>
    <xf numFmtId="10" fontId="7" fillId="11" borderId="0" xfId="3" applyNumberFormat="1" applyFont="1" applyFill="1" applyBorder="1" applyAlignment="1">
      <alignment horizontal="center" vertical="center"/>
    </xf>
    <xf numFmtId="6" fontId="7" fillId="11" borderId="0" xfId="0" applyNumberFormat="1" applyFont="1" applyFill="1" applyBorder="1" applyAlignment="1">
      <alignment horizontal="center" vertical="center"/>
    </xf>
    <xf numFmtId="6" fontId="7" fillId="11" borderId="8" xfId="0" applyNumberFormat="1" applyFont="1" applyFill="1" applyBorder="1" applyAlignment="1">
      <alignment horizontal="center" vertical="center"/>
    </xf>
    <xf numFmtId="0" fontId="14" fillId="10" borderId="11" xfId="0" applyFont="1" applyFill="1" applyBorder="1" applyAlignment="1">
      <alignment horizontal="center"/>
    </xf>
    <xf numFmtId="0" fontId="14" fillId="10" borderId="11" xfId="0" applyFont="1" applyFill="1" applyBorder="1" applyAlignment="1">
      <alignment horizontal="center" vertical="center"/>
    </xf>
    <xf numFmtId="166" fontId="7" fillId="11" borderId="8" xfId="0" applyNumberFormat="1" applyFont="1" applyFill="1" applyBorder="1" applyAlignment="1">
      <alignment horizontal="center"/>
    </xf>
    <xf numFmtId="0" fontId="8" fillId="3" borderId="95" xfId="0" applyFont="1" applyFill="1" applyBorder="1" applyAlignment="1">
      <alignment horizontal="center" vertical="center" wrapText="1"/>
    </xf>
    <xf numFmtId="0" fontId="0" fillId="0" borderId="93" xfId="0" applyBorder="1" applyAlignment="1">
      <alignment horizontal="center" vertical="center" wrapText="1"/>
    </xf>
    <xf numFmtId="0" fontId="8" fillId="3" borderId="97" xfId="0" applyFont="1" applyFill="1" applyBorder="1" applyAlignment="1">
      <alignment horizontal="center" vertical="center" wrapText="1"/>
    </xf>
    <xf numFmtId="0" fontId="0" fillId="0" borderId="94" xfId="0" applyBorder="1" applyAlignment="1">
      <alignment horizontal="center" vertical="center" wrapText="1"/>
    </xf>
    <xf numFmtId="181" fontId="7" fillId="7" borderId="4" xfId="0" applyNumberFormat="1" applyFont="1" applyFill="1" applyBorder="1" applyAlignment="1">
      <alignment horizontal="center" vertical="center"/>
    </xf>
    <xf numFmtId="181" fontId="7" fillId="7" borderId="39" xfId="0" applyNumberFormat="1" applyFont="1" applyFill="1" applyBorder="1" applyAlignment="1">
      <alignment horizontal="center" vertical="center"/>
    </xf>
    <xf numFmtId="0" fontId="8" fillId="6" borderId="94" xfId="0" applyFont="1" applyFill="1" applyBorder="1" applyAlignment="1">
      <alignment horizontal="center" vertical="center" wrapText="1"/>
    </xf>
    <xf numFmtId="0" fontId="8" fillId="6" borderId="119" xfId="0" applyFont="1" applyFill="1" applyBorder="1" applyAlignment="1">
      <alignment horizontal="center" vertical="center" wrapText="1"/>
    </xf>
    <xf numFmtId="9" fontId="10" fillId="7" borderId="53"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9" xfId="0" applyFont="1" applyFill="1" applyBorder="1" applyAlignment="1">
      <alignment horizontal="center" vertical="center" wrapText="1"/>
    </xf>
    <xf numFmtId="9" fontId="7" fillId="5" borderId="21" xfId="0" applyNumberFormat="1" applyFont="1" applyFill="1" applyBorder="1" applyAlignment="1">
      <alignment horizontal="center" vertical="center"/>
    </xf>
    <xf numFmtId="9" fontId="7" fillId="5" borderId="28" xfId="0" applyNumberFormat="1" applyFont="1" applyFill="1" applyBorder="1" applyAlignment="1">
      <alignment horizontal="center" vertical="center"/>
    </xf>
    <xf numFmtId="0" fontId="13" fillId="4" borderId="0" xfId="0" applyFont="1" applyFill="1" applyBorder="1" applyAlignment="1">
      <alignment horizontal="right" vertical="center"/>
    </xf>
    <xf numFmtId="0" fontId="13" fillId="4" borderId="1" xfId="0" applyFont="1" applyFill="1" applyBorder="1" applyAlignment="1">
      <alignment horizontal="right" vertical="center"/>
    </xf>
    <xf numFmtId="166" fontId="7" fillId="11" borderId="0" xfId="0" applyNumberFormat="1" applyFont="1" applyFill="1" applyBorder="1" applyAlignment="1">
      <alignment horizontal="center" vertical="center"/>
    </xf>
    <xf numFmtId="166" fontId="7" fillId="11" borderId="1" xfId="0" applyNumberFormat="1" applyFont="1" applyFill="1" applyBorder="1" applyAlignment="1">
      <alignment horizontal="center" vertical="center"/>
    </xf>
    <xf numFmtId="10" fontId="7" fillId="11" borderId="1" xfId="3" applyNumberFormat="1" applyFont="1" applyFill="1" applyBorder="1" applyAlignment="1">
      <alignment horizontal="center" vertical="center"/>
    </xf>
    <xf numFmtId="6" fontId="7" fillId="11" borderId="0" xfId="3" applyNumberFormat="1" applyFont="1" applyFill="1" applyBorder="1" applyAlignment="1">
      <alignment horizontal="center" vertical="center"/>
    </xf>
    <xf numFmtId="6" fontId="7" fillId="11" borderId="8" xfId="3" applyNumberFormat="1" applyFont="1" applyFill="1" applyBorder="1" applyAlignment="1">
      <alignment horizontal="center" vertical="center"/>
    </xf>
    <xf numFmtId="6" fontId="7" fillId="11" borderId="1" xfId="3" applyNumberFormat="1" applyFont="1" applyFill="1" applyBorder="1" applyAlignment="1">
      <alignment horizontal="center" vertical="center"/>
    </xf>
    <xf numFmtId="6" fontId="7" fillId="11" borderId="9" xfId="3" applyNumberFormat="1" applyFont="1" applyFill="1" applyBorder="1" applyAlignment="1">
      <alignment horizontal="center" vertical="center"/>
    </xf>
    <xf numFmtId="2" fontId="7" fillId="11" borderId="0" xfId="0" applyNumberFormat="1"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38" xfId="0" applyFont="1" applyFill="1" applyBorder="1" applyAlignment="1">
      <alignment horizontal="center" vertical="center" wrapText="1"/>
    </xf>
    <xf numFmtId="1" fontId="7" fillId="7" borderId="43" xfId="0" applyNumberFormat="1" applyFont="1" applyFill="1" applyBorder="1" applyAlignment="1">
      <alignment horizontal="center" vertical="center"/>
    </xf>
    <xf numFmtId="1" fontId="7" fillId="7" borderId="39" xfId="0" applyNumberFormat="1" applyFont="1" applyFill="1" applyBorder="1" applyAlignment="1">
      <alignment horizontal="center" vertical="center"/>
    </xf>
    <xf numFmtId="0" fontId="8" fillId="10" borderId="6" xfId="0" applyFont="1" applyFill="1" applyBorder="1" applyAlignment="1">
      <alignment horizontal="center" vertical="center" wrapText="1"/>
    </xf>
    <xf numFmtId="0" fontId="8" fillId="6" borderId="42" xfId="0" applyFont="1" applyFill="1" applyBorder="1" applyAlignment="1">
      <alignment horizontal="center" vertical="center" wrapText="1"/>
    </xf>
    <xf numFmtId="9" fontId="7" fillId="7" borderId="43" xfId="0" applyNumberFormat="1" applyFont="1" applyFill="1" applyBorder="1" applyAlignment="1">
      <alignment horizontal="center" vertical="center"/>
    </xf>
    <xf numFmtId="9" fontId="7" fillId="7" borderId="4" xfId="0" applyNumberFormat="1" applyFont="1" applyFill="1" applyBorder="1" applyAlignment="1">
      <alignment horizontal="center" vertical="center"/>
    </xf>
    <xf numFmtId="9" fontId="7" fillId="7" borderId="39"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0" fillId="0" borderId="2" xfId="0" applyBorder="1" applyAlignment="1">
      <alignment horizontal="center" vertical="center" wrapText="1"/>
    </xf>
    <xf numFmtId="4" fontId="7" fillId="7" borderId="43" xfId="0" applyNumberFormat="1" applyFont="1" applyFill="1" applyBorder="1" applyAlignment="1">
      <alignment horizontal="center" vertical="center"/>
    </xf>
    <xf numFmtId="0" fontId="7" fillId="7" borderId="4" xfId="0" applyNumberFormat="1" applyFont="1" applyFill="1" applyBorder="1" applyAlignment="1">
      <alignment horizontal="center" vertical="center"/>
    </xf>
    <xf numFmtId="0" fontId="7" fillId="7" borderId="39" xfId="0" applyNumberFormat="1" applyFont="1" applyFill="1" applyBorder="1" applyAlignment="1">
      <alignment horizontal="center" vertical="center"/>
    </xf>
    <xf numFmtId="0" fontId="14" fillId="10" borderId="119" xfId="0" applyFont="1" applyFill="1" applyBorder="1" applyAlignment="1">
      <alignment horizontal="center" vertical="center"/>
    </xf>
    <xf numFmtId="176" fontId="7" fillId="4" borderId="111" xfId="0" applyNumberFormat="1" applyFont="1" applyFill="1" applyBorder="1" applyAlignment="1">
      <alignment horizontal="center" vertical="center"/>
    </xf>
    <xf numFmtId="176" fontId="0" fillId="0" borderId="112" xfId="0" applyNumberFormat="1" applyBorder="1" applyAlignment="1">
      <alignment horizontal="center" vertical="center"/>
    </xf>
    <xf numFmtId="0" fontId="8" fillId="6" borderId="52"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12" xfId="0" applyFont="1" applyFill="1" applyBorder="1" applyAlignment="1">
      <alignment horizontal="center" vertical="center" wrapText="1"/>
    </xf>
    <xf numFmtId="165" fontId="7" fillId="7" borderId="4" xfId="0" applyNumberFormat="1" applyFont="1" applyFill="1" applyBorder="1" applyAlignment="1">
      <alignment horizontal="center" vertical="center"/>
    </xf>
    <xf numFmtId="165" fontId="7" fillId="7" borderId="13" xfId="0" applyNumberFormat="1" applyFont="1" applyFill="1" applyBorder="1" applyAlignment="1">
      <alignment horizontal="center" vertical="center"/>
    </xf>
    <xf numFmtId="176" fontId="7" fillId="4" borderId="121" xfId="0" applyNumberFormat="1" applyFont="1" applyFill="1" applyBorder="1" applyAlignment="1">
      <alignment horizontal="center" vertical="center"/>
    </xf>
    <xf numFmtId="176" fontId="7" fillId="4" borderId="122" xfId="0" applyNumberFormat="1" applyFont="1" applyFill="1" applyBorder="1" applyAlignment="1">
      <alignment horizontal="center" vertical="center"/>
    </xf>
    <xf numFmtId="176" fontId="7" fillId="4" borderId="126" xfId="0" applyNumberFormat="1" applyFont="1" applyFill="1" applyBorder="1" applyAlignment="1">
      <alignment horizontal="center" vertical="center"/>
    </xf>
    <xf numFmtId="176" fontId="7" fillId="4" borderId="128" xfId="0" applyNumberFormat="1" applyFont="1" applyFill="1" applyBorder="1" applyAlignment="1">
      <alignment horizontal="center" vertical="center"/>
    </xf>
    <xf numFmtId="176" fontId="7" fillId="4" borderId="113" xfId="0" applyNumberFormat="1" applyFont="1" applyFill="1" applyBorder="1" applyAlignment="1">
      <alignment horizontal="center" vertical="center"/>
    </xf>
    <xf numFmtId="176" fontId="0" fillId="0" borderId="114" xfId="0" applyNumberFormat="1" applyBorder="1" applyAlignment="1">
      <alignment horizontal="center" vertical="center"/>
    </xf>
    <xf numFmtId="0" fontId="14" fillId="14" borderId="6"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0" fillId="0" borderId="3" xfId="0" applyBorder="1" applyAlignment="1"/>
    <xf numFmtId="0" fontId="8" fillId="13" borderId="6" xfId="0" applyFont="1" applyFill="1" applyBorder="1" applyAlignment="1">
      <alignment horizontal="center" wrapText="1"/>
    </xf>
    <xf numFmtId="0" fontId="8" fillId="13" borderId="2" xfId="0" applyFont="1" applyFill="1" applyBorder="1" applyAlignment="1">
      <alignment horizontal="center" wrapText="1"/>
    </xf>
    <xf numFmtId="0" fontId="8" fillId="13" borderId="10" xfId="0" applyFont="1" applyFill="1" applyBorder="1" applyAlignment="1">
      <alignment horizontal="center" wrapText="1"/>
    </xf>
    <xf numFmtId="0" fontId="8" fillId="13" borderId="0" xfId="0" applyFont="1" applyFill="1" applyBorder="1" applyAlignment="1">
      <alignment horizontal="center" wrapText="1"/>
    </xf>
    <xf numFmtId="0" fontId="8" fillId="10" borderId="2"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8" xfId="0" applyFont="1" applyFill="1" applyBorder="1" applyAlignment="1">
      <alignment horizontal="center" vertical="center" wrapText="1"/>
    </xf>
    <xf numFmtId="168" fontId="7" fillId="12" borderId="31" xfId="1" applyNumberFormat="1" applyFont="1" applyFill="1" applyBorder="1" applyAlignment="1">
      <alignment horizontal="center" vertical="center"/>
    </xf>
    <xf numFmtId="168" fontId="7" fillId="12" borderId="32" xfId="1" applyNumberFormat="1"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0" xfId="0" applyFont="1" applyFill="1" applyBorder="1" applyAlignment="1">
      <alignment horizontal="center" vertical="center"/>
    </xf>
    <xf numFmtId="0" fontId="21" fillId="4" borderId="1" xfId="0" applyFont="1" applyFill="1" applyBorder="1" applyAlignment="1">
      <alignment horizontal="center" vertical="center"/>
    </xf>
    <xf numFmtId="164" fontId="10" fillId="7" borderId="53" xfId="0" applyNumberFormat="1" applyFont="1" applyFill="1" applyBorder="1" applyAlignment="1">
      <alignment horizontal="center" vertical="center"/>
    </xf>
    <xf numFmtId="164" fontId="10" fillId="7" borderId="28" xfId="0" applyNumberFormat="1" applyFont="1" applyFill="1" applyBorder="1" applyAlignment="1">
      <alignment horizontal="center" vertical="center"/>
    </xf>
    <xf numFmtId="0" fontId="8" fillId="4" borderId="125" xfId="0" applyFont="1" applyFill="1" applyBorder="1" applyAlignment="1">
      <alignment horizontal="right" vertical="center" wrapText="1"/>
    </xf>
    <xf numFmtId="176" fontId="7" fillId="4" borderId="120" xfId="0" applyNumberFormat="1" applyFont="1" applyFill="1" applyBorder="1" applyAlignment="1">
      <alignment horizontal="center" vertical="center"/>
    </xf>
    <xf numFmtId="176" fontId="7" fillId="4" borderId="130" xfId="0" applyNumberFormat="1" applyFont="1" applyFill="1" applyBorder="1" applyAlignment="1">
      <alignment horizontal="center" vertical="center"/>
    </xf>
    <xf numFmtId="0" fontId="7" fillId="9" borderId="84" xfId="0" applyFont="1" applyFill="1" applyBorder="1" applyAlignment="1">
      <alignment horizontal="center"/>
    </xf>
    <xf numFmtId="0" fontId="7" fillId="9" borderId="85" xfId="0" applyFont="1" applyFill="1" applyBorder="1" applyAlignment="1">
      <alignment horizontal="center"/>
    </xf>
    <xf numFmtId="0" fontId="7" fillId="9" borderId="86" xfId="0" applyFont="1" applyFill="1" applyBorder="1" applyAlignment="1">
      <alignment horizontal="center"/>
    </xf>
    <xf numFmtId="176" fontId="7" fillId="4" borderId="131" xfId="0" applyNumberFormat="1" applyFont="1" applyFill="1" applyBorder="1" applyAlignment="1">
      <alignment horizontal="center" vertical="center"/>
    </xf>
    <xf numFmtId="176" fontId="7" fillId="4" borderId="132" xfId="0" applyNumberFormat="1" applyFont="1" applyFill="1" applyBorder="1" applyAlignment="1">
      <alignment horizontal="center" vertical="center"/>
    </xf>
    <xf numFmtId="0" fontId="14" fillId="13" borderId="118" xfId="0" applyFont="1" applyFill="1" applyBorder="1" applyAlignment="1">
      <alignment horizontal="center" vertical="center" wrapText="1"/>
    </xf>
    <xf numFmtId="10" fontId="7" fillId="11" borderId="8" xfId="3" applyNumberFormat="1" applyFont="1" applyFill="1" applyBorder="1" applyAlignment="1">
      <alignment horizontal="center" vertical="center"/>
    </xf>
    <xf numFmtId="0" fontId="7" fillId="9" borderId="72" xfId="0" applyFont="1" applyFill="1" applyBorder="1" applyAlignment="1">
      <alignment horizontal="center"/>
    </xf>
    <xf numFmtId="0" fontId="7" fillId="9" borderId="73" xfId="0" applyFont="1" applyFill="1" applyBorder="1" applyAlignment="1">
      <alignment horizontal="center"/>
    </xf>
    <xf numFmtId="0" fontId="7" fillId="9" borderId="74" xfId="0" applyFont="1" applyFill="1" applyBorder="1" applyAlignment="1">
      <alignment horizontal="center"/>
    </xf>
    <xf numFmtId="0" fontId="0" fillId="0" borderId="3" xfId="0" applyBorder="1" applyAlignment="1">
      <alignment horizontal="center" vertical="center" wrapText="1"/>
    </xf>
    <xf numFmtId="0" fontId="7" fillId="4" borderId="3" xfId="0" applyFont="1" applyFill="1" applyBorder="1" applyAlignment="1">
      <alignment horizontal="left" vertical="center"/>
    </xf>
    <xf numFmtId="0" fontId="7" fillId="4" borderId="1" xfId="0" applyFont="1" applyFill="1" applyBorder="1" applyAlignment="1">
      <alignment horizontal="left" vertical="center"/>
    </xf>
    <xf numFmtId="0" fontId="14" fillId="13" borderId="27"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26" xfId="0" applyFont="1" applyFill="1" applyBorder="1" applyAlignment="1">
      <alignment horizontal="center" vertical="center" wrapText="1"/>
    </xf>
    <xf numFmtId="0" fontId="8" fillId="8" borderId="60" xfId="0" applyFont="1" applyFill="1" applyBorder="1" applyAlignment="1">
      <alignment horizontal="center" vertical="center" wrapText="1"/>
    </xf>
    <xf numFmtId="0" fontId="8" fillId="8" borderId="92"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174" fontId="7" fillId="12" borderId="66" xfId="3" applyNumberFormat="1" applyFont="1" applyFill="1" applyBorder="1" applyAlignment="1">
      <alignment horizontal="center" vertical="center"/>
    </xf>
    <xf numFmtId="174" fontId="7" fillId="12" borderId="67" xfId="3" applyNumberFormat="1" applyFont="1" applyFill="1" applyBorder="1" applyAlignment="1">
      <alignment horizontal="center" vertical="center"/>
    </xf>
    <xf numFmtId="174" fontId="7" fillId="12" borderId="68" xfId="3" applyNumberFormat="1" applyFont="1" applyFill="1" applyBorder="1" applyAlignment="1">
      <alignment horizontal="center" vertical="center"/>
    </xf>
    <xf numFmtId="0" fontId="7" fillId="12" borderId="17" xfId="0" applyFont="1" applyFill="1" applyBorder="1" applyAlignment="1">
      <alignment horizontal="center" vertical="center"/>
    </xf>
    <xf numFmtId="0" fontId="7" fillId="12" borderId="24" xfId="0" applyFont="1" applyFill="1" applyBorder="1" applyAlignment="1">
      <alignment horizontal="center" vertical="center"/>
    </xf>
    <xf numFmtId="164" fontId="7" fillId="12" borderId="31" xfId="1" applyNumberFormat="1" applyFont="1" applyFill="1" applyBorder="1" applyAlignment="1">
      <alignment horizontal="center" vertical="center"/>
    </xf>
    <xf numFmtId="164" fontId="7" fillId="12" borderId="34" xfId="1" applyNumberFormat="1" applyFont="1" applyFill="1" applyBorder="1" applyAlignment="1">
      <alignment horizontal="center" vertical="center"/>
    </xf>
    <xf numFmtId="164" fontId="7" fillId="12" borderId="32" xfId="1" applyNumberFormat="1" applyFont="1" applyFill="1" applyBorder="1" applyAlignment="1">
      <alignment horizontal="center" vertical="center"/>
    </xf>
    <xf numFmtId="0" fontId="7" fillId="7" borderId="43" xfId="0" applyNumberFormat="1" applyFont="1" applyFill="1" applyBorder="1" applyAlignment="1">
      <alignment horizontal="center" vertical="center"/>
    </xf>
    <xf numFmtId="0" fontId="7" fillId="7" borderId="4" xfId="0" applyFont="1" applyFill="1" applyBorder="1" applyAlignment="1">
      <alignment horizontal="center" vertical="center"/>
    </xf>
    <xf numFmtId="0" fontId="7" fillId="7" borderId="39" xfId="0" applyFont="1" applyFill="1" applyBorder="1" applyAlignment="1">
      <alignment horizontal="center" vertical="center"/>
    </xf>
    <xf numFmtId="1" fontId="9" fillId="7" borderId="43" xfId="0" applyNumberFormat="1" applyFont="1" applyFill="1" applyBorder="1" applyAlignment="1">
      <alignment horizontal="center" vertical="center"/>
    </xf>
    <xf numFmtId="1" fontId="9" fillId="7" borderId="39" xfId="0" applyNumberFormat="1" applyFont="1" applyFill="1" applyBorder="1" applyAlignment="1">
      <alignment horizontal="center" vertical="center"/>
    </xf>
    <xf numFmtId="9" fontId="9" fillId="7" borderId="43" xfId="0" applyNumberFormat="1" applyFont="1" applyFill="1" applyBorder="1" applyAlignment="1">
      <alignment horizontal="center" vertical="center"/>
    </xf>
    <xf numFmtId="9" fontId="9" fillId="7" borderId="4" xfId="0" applyNumberFormat="1" applyFont="1" applyFill="1" applyBorder="1" applyAlignment="1">
      <alignment horizontal="center" vertical="center"/>
    </xf>
    <xf numFmtId="9" fontId="9" fillId="7" borderId="39" xfId="0" applyNumberFormat="1" applyFont="1" applyFill="1" applyBorder="1" applyAlignment="1">
      <alignment horizontal="center" vertical="center"/>
    </xf>
    <xf numFmtId="0" fontId="9" fillId="7" borderId="43" xfId="0" applyNumberFormat="1" applyFont="1" applyFill="1" applyBorder="1" applyAlignment="1">
      <alignment horizontal="center" vertical="center"/>
    </xf>
    <xf numFmtId="0" fontId="9" fillId="7" borderId="4" xfId="0" applyNumberFormat="1" applyFont="1" applyFill="1" applyBorder="1" applyAlignment="1">
      <alignment horizontal="center" vertical="center"/>
    </xf>
    <xf numFmtId="0" fontId="9" fillId="7" borderId="39" xfId="0" applyNumberFormat="1" applyFont="1" applyFill="1" applyBorder="1" applyAlignment="1">
      <alignment horizontal="center" vertical="center"/>
    </xf>
    <xf numFmtId="4" fontId="7" fillId="18" borderId="8" xfId="0" applyNumberFormat="1" applyFont="1" applyFill="1" applyBorder="1" applyAlignment="1">
      <alignment horizontal="center" vertical="center"/>
    </xf>
    <xf numFmtId="0" fontId="0" fillId="0" borderId="8" xfId="0" applyBorder="1" applyAlignment="1">
      <alignment horizontal="center" vertical="center"/>
    </xf>
    <xf numFmtId="0" fontId="7" fillId="18" borderId="0" xfId="0" applyFont="1" applyFill="1" applyBorder="1" applyAlignment="1">
      <alignment wrapText="1"/>
    </xf>
    <xf numFmtId="0" fontId="0" fillId="18" borderId="0" xfId="0" applyFill="1" applyBorder="1" applyAlignment="1">
      <alignment wrapText="1"/>
    </xf>
    <xf numFmtId="0" fontId="14" fillId="13" borderId="10" xfId="0" applyFont="1" applyFill="1" applyBorder="1" applyAlignment="1">
      <alignment horizontal="center" vertical="center" wrapText="1"/>
    </xf>
    <xf numFmtId="0" fontId="14" fillId="10" borderId="0" xfId="0" applyFont="1" applyFill="1" applyBorder="1" applyAlignment="1">
      <alignment horizontal="center" vertical="center"/>
    </xf>
    <xf numFmtId="165" fontId="7" fillId="7" borderId="43" xfId="0" applyNumberFormat="1" applyFont="1" applyFill="1" applyBorder="1" applyAlignment="1">
      <alignment horizontal="center" vertical="center"/>
    </xf>
    <xf numFmtId="0" fontId="7" fillId="11" borderId="0" xfId="3" applyNumberFormat="1" applyFont="1" applyFill="1" applyBorder="1" applyAlignment="1">
      <alignment horizontal="center" vertical="center"/>
    </xf>
    <xf numFmtId="169" fontId="7" fillId="11" borderId="0" xfId="0" applyNumberFormat="1" applyFont="1" applyFill="1" applyBorder="1" applyAlignment="1">
      <alignment horizontal="center" vertical="center"/>
    </xf>
    <xf numFmtId="170" fontId="7" fillId="11" borderId="0" xfId="0" applyNumberFormat="1" applyFont="1" applyFill="1" applyBorder="1" applyAlignment="1">
      <alignment horizontal="center" vertical="center"/>
    </xf>
    <xf numFmtId="0" fontId="8" fillId="10" borderId="3" xfId="0" applyFont="1" applyFill="1" applyBorder="1" applyAlignment="1">
      <alignment horizontal="center" vertical="center" wrapText="1"/>
    </xf>
    <xf numFmtId="2" fontId="7" fillId="11" borderId="1" xfId="0" applyNumberFormat="1" applyFont="1" applyFill="1" applyBorder="1" applyAlignment="1">
      <alignment horizontal="center" vertical="center"/>
    </xf>
    <xf numFmtId="10" fontId="7" fillId="11" borderId="9" xfId="3" applyNumberFormat="1" applyFont="1" applyFill="1" applyBorder="1" applyAlignment="1">
      <alignment horizontal="center" vertical="center"/>
    </xf>
    <xf numFmtId="0" fontId="17" fillId="4" borderId="105" xfId="0" applyFont="1" applyFill="1" applyBorder="1" applyAlignment="1">
      <alignment horizontal="center" vertical="center" wrapText="1"/>
    </xf>
    <xf numFmtId="0" fontId="17" fillId="4" borderId="106" xfId="0" applyFont="1" applyFill="1" applyBorder="1" applyAlignment="1">
      <alignment horizontal="center" vertical="center" wrapText="1"/>
    </xf>
    <xf numFmtId="0" fontId="17" fillId="4" borderId="107" xfId="0" applyFont="1" applyFill="1" applyBorder="1" applyAlignment="1">
      <alignment horizontal="center" vertical="center" wrapText="1"/>
    </xf>
    <xf numFmtId="0" fontId="8" fillId="10" borderId="10" xfId="0" applyFont="1" applyFill="1" applyBorder="1" applyAlignment="1">
      <alignment horizontal="center" vertical="center"/>
    </xf>
    <xf numFmtId="0" fontId="8" fillId="10" borderId="0" xfId="0" applyFont="1" applyFill="1" applyBorder="1" applyAlignment="1">
      <alignment horizontal="center" vertical="center"/>
    </xf>
    <xf numFmtId="0" fontId="14" fillId="14" borderId="3" xfId="0" applyFont="1" applyFill="1" applyBorder="1" applyAlignment="1">
      <alignment horizontal="center" vertical="center" wrapText="1"/>
    </xf>
    <xf numFmtId="0" fontId="8" fillId="10" borderId="3" xfId="0" applyFont="1" applyFill="1" applyBorder="1" applyAlignment="1">
      <alignment horizontal="center" vertical="center"/>
    </xf>
    <xf numFmtId="0" fontId="8" fillId="10" borderId="1" xfId="0" applyFont="1" applyFill="1" applyBorder="1" applyAlignment="1">
      <alignment horizontal="center" vertical="center"/>
    </xf>
    <xf numFmtId="0" fontId="8" fillId="8" borderId="2" xfId="0" applyFont="1" applyFill="1" applyBorder="1" applyAlignment="1">
      <alignment horizontal="center" vertical="center" wrapText="1"/>
    </xf>
    <xf numFmtId="0" fontId="8" fillId="10" borderId="2" xfId="0" applyFont="1" applyFill="1" applyBorder="1" applyAlignment="1">
      <alignment horizontal="center" wrapText="1"/>
    </xf>
    <xf numFmtId="0" fontId="8" fillId="10" borderId="7" xfId="0" applyFont="1" applyFill="1" applyBorder="1" applyAlignment="1">
      <alignment horizontal="center" wrapText="1"/>
    </xf>
    <xf numFmtId="0" fontId="8" fillId="10" borderId="0" xfId="0" applyFont="1" applyFill="1" applyBorder="1" applyAlignment="1">
      <alignment horizontal="center" wrapText="1"/>
    </xf>
    <xf numFmtId="0" fontId="8" fillId="10" borderId="8" xfId="0" applyFont="1" applyFill="1" applyBorder="1" applyAlignment="1">
      <alignment horizontal="center" wrapText="1"/>
    </xf>
    <xf numFmtId="0" fontId="12" fillId="9" borderId="82" xfId="2" applyFont="1" applyFill="1" applyBorder="1" applyAlignment="1">
      <alignment horizontal="center"/>
    </xf>
    <xf numFmtId="0" fontId="12" fillId="9" borderId="1" xfId="2" applyFont="1" applyFill="1" applyBorder="1" applyAlignment="1">
      <alignment horizontal="center"/>
    </xf>
    <xf numFmtId="0" fontId="12" fillId="9" borderId="83" xfId="2" applyFont="1" applyFill="1" applyBorder="1" applyAlignment="1">
      <alignment horizontal="center"/>
    </xf>
    <xf numFmtId="0" fontId="41" fillId="13" borderId="25"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08" xfId="0" applyFont="1" applyFill="1" applyBorder="1" applyAlignment="1">
      <alignment horizontal="center" vertical="center" wrapText="1"/>
    </xf>
    <xf numFmtId="165" fontId="7" fillId="12" borderId="66" xfId="3" applyNumberFormat="1" applyFont="1" applyFill="1" applyBorder="1" applyAlignment="1">
      <alignment horizontal="center" vertical="center"/>
    </xf>
    <xf numFmtId="165" fontId="7" fillId="12" borderId="67" xfId="3" applyNumberFormat="1" applyFont="1" applyFill="1" applyBorder="1" applyAlignment="1">
      <alignment horizontal="center" vertical="center"/>
    </xf>
    <xf numFmtId="165" fontId="7" fillId="12" borderId="68" xfId="3" applyNumberFormat="1" applyFont="1" applyFill="1" applyBorder="1" applyAlignment="1">
      <alignment horizontal="center" vertical="center"/>
    </xf>
    <xf numFmtId="0" fontId="14" fillId="13" borderId="133" xfId="0" applyFont="1" applyFill="1" applyBorder="1" applyAlignment="1">
      <alignment horizontal="center" vertical="center" wrapText="1"/>
    </xf>
    <xf numFmtId="0" fontId="14" fillId="13" borderId="134" xfId="0" applyFont="1" applyFill="1" applyBorder="1" applyAlignment="1">
      <alignment horizontal="center" vertical="center" wrapText="1"/>
    </xf>
    <xf numFmtId="0" fontId="14" fillId="13" borderId="135" xfId="0" applyFont="1" applyFill="1" applyBorder="1" applyAlignment="1">
      <alignment horizontal="center" vertical="center" wrapText="1"/>
    </xf>
    <xf numFmtId="0" fontId="8" fillId="23" borderId="2" xfId="0" applyFont="1" applyFill="1" applyBorder="1" applyAlignment="1">
      <alignment horizontal="center" vertical="center"/>
    </xf>
    <xf numFmtId="0" fontId="8" fillId="3" borderId="12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4" fillId="13" borderId="137" xfId="0" applyFont="1" applyFill="1" applyBorder="1" applyAlignment="1">
      <alignment horizontal="center" vertical="center" wrapText="1"/>
    </xf>
    <xf numFmtId="0" fontId="8" fillId="6" borderId="121" xfId="0" applyFont="1" applyFill="1" applyBorder="1" applyAlignment="1">
      <alignment horizontal="center" vertical="center" wrapText="1"/>
    </xf>
    <xf numFmtId="0" fontId="8" fillId="6" borderId="123" xfId="0" applyFont="1" applyFill="1" applyBorder="1" applyAlignment="1">
      <alignment horizontal="center" vertical="center" wrapText="1"/>
    </xf>
    <xf numFmtId="0" fontId="8" fillId="2" borderId="121" xfId="0" applyFont="1" applyFill="1" applyBorder="1" applyAlignment="1">
      <alignment horizontal="center" vertical="center" wrapText="1"/>
    </xf>
    <xf numFmtId="0" fontId="8" fillId="2" borderId="124" xfId="0" applyFont="1" applyFill="1" applyBorder="1" applyAlignment="1">
      <alignment horizontal="center" vertical="center" wrapText="1"/>
    </xf>
    <xf numFmtId="2" fontId="7" fillId="5" borderId="0" xfId="0" applyNumberFormat="1" applyFont="1" applyFill="1" applyBorder="1" applyAlignment="1">
      <alignment horizontal="center" vertical="center"/>
    </xf>
    <xf numFmtId="2" fontId="7" fillId="5" borderId="8" xfId="0" applyNumberFormat="1" applyFont="1" applyFill="1" applyBorder="1" applyAlignment="1">
      <alignment horizontal="center" vertical="center"/>
    </xf>
    <xf numFmtId="0" fontId="7" fillId="4" borderId="1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7" borderId="2" xfId="0" applyFont="1" applyFill="1" applyBorder="1" applyAlignment="1">
      <alignment horizontal="center" vertical="center"/>
    </xf>
    <xf numFmtId="0" fontId="7" fillId="7" borderId="7" xfId="0" applyFont="1" applyFill="1" applyBorder="1" applyAlignment="1">
      <alignment horizontal="center" vertical="center"/>
    </xf>
    <xf numFmtId="0" fontId="8" fillId="23" borderId="0"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8"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8" fillId="6" borderId="124" xfId="0" applyFont="1" applyFill="1" applyBorder="1" applyAlignment="1">
      <alignment horizontal="center" vertical="center" wrapText="1"/>
    </xf>
    <xf numFmtId="0" fontId="8" fillId="6" borderId="0" xfId="0" applyFont="1" applyFill="1" applyBorder="1" applyAlignment="1">
      <alignment horizontal="center" vertical="center" wrapText="1"/>
    </xf>
    <xf numFmtId="164" fontId="7" fillId="7" borderId="0" xfId="0" applyNumberFormat="1" applyFont="1" applyFill="1" applyBorder="1" applyAlignment="1">
      <alignment horizontal="center" vertical="center"/>
    </xf>
    <xf numFmtId="164" fontId="7" fillId="7" borderId="8" xfId="0" applyNumberFormat="1" applyFont="1" applyFill="1" applyBorder="1" applyAlignment="1">
      <alignment horizontal="center" vertical="center"/>
    </xf>
    <xf numFmtId="0" fontId="8" fillId="6" borderId="124" xfId="0" applyFont="1" applyFill="1" applyBorder="1" applyAlignment="1">
      <alignment horizontal="center" vertical="center"/>
    </xf>
    <xf numFmtId="0" fontId="8" fillId="6" borderId="0" xfId="0" applyFont="1" applyFill="1" applyBorder="1" applyAlignment="1">
      <alignment horizontal="center" vertical="center"/>
    </xf>
    <xf numFmtId="2" fontId="7" fillId="7" borderId="0" xfId="1" applyNumberFormat="1" applyFont="1" applyFill="1" applyBorder="1" applyAlignment="1">
      <alignment horizontal="center" vertical="center"/>
    </xf>
    <xf numFmtId="2" fontId="7" fillId="7" borderId="8" xfId="1"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8" fillId="3" borderId="126" xfId="0" applyFont="1" applyFill="1" applyBorder="1" applyAlignment="1">
      <alignment horizontal="center" vertical="center" wrapText="1"/>
    </xf>
    <xf numFmtId="0" fontId="8" fillId="3" borderId="127" xfId="0" applyFont="1" applyFill="1" applyBorder="1" applyAlignment="1">
      <alignment horizontal="center" vertical="center" wrapText="1"/>
    </xf>
    <xf numFmtId="9" fontId="7" fillId="5" borderId="127" xfId="0" applyNumberFormat="1" applyFont="1" applyFill="1" applyBorder="1" applyAlignment="1">
      <alignment horizontal="center" vertical="center"/>
    </xf>
    <xf numFmtId="9" fontId="7" fillId="5" borderId="136" xfId="0" applyNumberFormat="1" applyFont="1" applyFill="1" applyBorder="1" applyAlignment="1">
      <alignment horizontal="center" vertical="center"/>
    </xf>
    <xf numFmtId="9" fontId="7" fillId="5" borderId="0" xfId="3" applyFont="1" applyFill="1" applyBorder="1" applyAlignment="1">
      <alignment horizontal="center" vertical="center"/>
    </xf>
    <xf numFmtId="9" fontId="7" fillId="5" borderId="8" xfId="3" applyFont="1" applyFill="1" applyBorder="1" applyAlignment="1">
      <alignment horizontal="center" vertical="center"/>
    </xf>
    <xf numFmtId="0" fontId="7" fillId="4" borderId="0" xfId="0" applyFont="1" applyFill="1" applyAlignment="1">
      <alignment horizontal="left" vertical="center" wrapText="1"/>
    </xf>
    <xf numFmtId="0" fontId="14" fillId="13" borderId="137" xfId="0" applyFont="1" applyFill="1" applyBorder="1" applyAlignment="1">
      <alignment horizontal="center" vertical="center"/>
    </xf>
    <xf numFmtId="0" fontId="14" fillId="13" borderId="134" xfId="0" applyFont="1" applyFill="1" applyBorder="1" applyAlignment="1">
      <alignment horizontal="center" vertical="center"/>
    </xf>
    <xf numFmtId="0" fontId="14" fillId="13" borderId="140" xfId="0" applyFont="1" applyFill="1" applyBorder="1" applyAlignment="1">
      <alignment horizontal="center" vertical="center"/>
    </xf>
    <xf numFmtId="0" fontId="8" fillId="14" borderId="121" xfId="0" applyFont="1" applyFill="1" applyBorder="1" applyAlignment="1">
      <alignment horizontal="center" vertical="center" wrapText="1"/>
    </xf>
    <xf numFmtId="0" fontId="8" fillId="14" borderId="124" xfId="0" applyFont="1" applyFill="1" applyBorder="1" applyAlignment="1">
      <alignment horizontal="center" vertical="center" wrapText="1"/>
    </xf>
    <xf numFmtId="0" fontId="20" fillId="15" borderId="123" xfId="0" applyFont="1" applyFill="1" applyBorder="1" applyAlignment="1">
      <alignment horizontal="left" vertical="center"/>
    </xf>
    <xf numFmtId="183" fontId="7" fillId="16" borderId="123" xfId="3" applyNumberFormat="1" applyFont="1" applyFill="1" applyBorder="1" applyAlignment="1">
      <alignment horizontal="center" vertical="center"/>
    </xf>
    <xf numFmtId="0" fontId="20" fillId="15" borderId="0" xfId="0" applyFont="1" applyFill="1" applyBorder="1" applyAlignment="1">
      <alignment horizontal="left" vertical="center"/>
    </xf>
    <xf numFmtId="183" fontId="7" fillId="16" borderId="0" xfId="3" applyNumberFormat="1" applyFont="1" applyFill="1" applyBorder="1" applyAlignment="1">
      <alignment horizontal="center" vertical="center"/>
    </xf>
    <xf numFmtId="0" fontId="8" fillId="14" borderId="141" xfId="0" applyFont="1" applyFill="1" applyBorder="1" applyAlignment="1">
      <alignment horizontal="right"/>
    </xf>
    <xf numFmtId="0" fontId="8" fillId="14" borderId="1" xfId="0" applyFont="1" applyFill="1" applyBorder="1" applyAlignment="1">
      <alignment horizontal="right"/>
    </xf>
    <xf numFmtId="164" fontId="7" fillId="16" borderId="0" xfId="0" applyNumberFormat="1" applyFont="1" applyFill="1" applyBorder="1" applyAlignment="1">
      <alignment horizontal="center"/>
    </xf>
    <xf numFmtId="0" fontId="8" fillId="14" borderId="124" xfId="0" applyFont="1" applyFill="1" applyBorder="1" applyAlignment="1">
      <alignment horizontal="center"/>
    </xf>
    <xf numFmtId="0" fontId="8" fillId="14" borderId="0" xfId="0" applyFont="1" applyFill="1" applyBorder="1" applyAlignment="1">
      <alignment horizontal="center"/>
    </xf>
    <xf numFmtId="0" fontId="8" fillId="14" borderId="124" xfId="0" applyFont="1" applyFill="1" applyBorder="1" applyAlignment="1">
      <alignment horizontal="right"/>
    </xf>
    <xf numFmtId="0" fontId="8" fillId="14" borderId="0" xfId="0" applyFont="1" applyFill="1" applyBorder="1" applyAlignment="1">
      <alignment horizontal="right"/>
    </xf>
    <xf numFmtId="0" fontId="6" fillId="0" borderId="142" xfId="0" applyFont="1" applyBorder="1" applyAlignment="1">
      <alignment horizontal="left" vertical="center"/>
    </xf>
    <xf numFmtId="0" fontId="6" fillId="0" borderId="143" xfId="0" applyFont="1" applyBorder="1" applyAlignment="1">
      <alignment horizontal="left" vertical="center"/>
    </xf>
    <xf numFmtId="0" fontId="8" fillId="3" borderId="124" xfId="0" applyFont="1" applyFill="1" applyBorder="1" applyAlignment="1">
      <alignment horizontal="center" vertical="center"/>
    </xf>
    <xf numFmtId="0" fontId="8" fillId="3"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8" xfId="0" applyFont="1" applyFill="1" applyBorder="1" applyAlignment="1">
      <alignment horizontal="center" vertical="center"/>
    </xf>
    <xf numFmtId="2" fontId="7" fillId="5" borderId="0" xfId="0" applyNumberFormat="1" applyFont="1" applyFill="1" applyBorder="1" applyAlignment="1">
      <alignment horizontal="center" vertical="center" wrapText="1"/>
    </xf>
    <xf numFmtId="2" fontId="7" fillId="5" borderId="8" xfId="0" applyNumberFormat="1" applyFont="1" applyFill="1" applyBorder="1" applyAlignment="1">
      <alignment horizontal="center" vertical="center" wrapText="1"/>
    </xf>
    <xf numFmtId="0" fontId="8" fillId="6" borderId="126" xfId="0" applyFont="1" applyFill="1" applyBorder="1" applyAlignment="1">
      <alignment horizontal="center" vertical="center" wrapText="1"/>
    </xf>
    <xf numFmtId="0" fontId="8" fillId="6" borderId="127" xfId="0" applyFont="1" applyFill="1" applyBorder="1" applyAlignment="1">
      <alignment horizontal="center" vertical="center" wrapText="1"/>
    </xf>
    <xf numFmtId="0" fontId="7" fillId="7" borderId="123" xfId="0" applyFont="1" applyFill="1" applyBorder="1" applyAlignment="1">
      <alignment horizontal="center" vertical="center"/>
    </xf>
    <xf numFmtId="0" fontId="7" fillId="7" borderId="138" xfId="0" applyFont="1" applyFill="1" applyBorder="1" applyAlignment="1">
      <alignment horizontal="center" vertical="center"/>
    </xf>
    <xf numFmtId="164" fontId="7" fillId="7" borderId="0" xfId="1" applyNumberFormat="1" applyFont="1" applyFill="1" applyBorder="1" applyAlignment="1">
      <alignment horizontal="center" vertical="center"/>
    </xf>
    <xf numFmtId="164" fontId="7" fillId="7" borderId="8" xfId="1" applyNumberFormat="1" applyFont="1" applyFill="1" applyBorder="1" applyAlignment="1">
      <alignment horizontal="center" vertical="center"/>
    </xf>
    <xf numFmtId="0" fontId="8" fillId="2" borderId="123" xfId="0" applyFont="1" applyFill="1" applyBorder="1" applyAlignment="1">
      <alignment horizontal="center" vertical="center" wrapText="1"/>
    </xf>
    <xf numFmtId="0" fontId="8" fillId="2" borderId="122" xfId="0" applyFont="1" applyFill="1" applyBorder="1" applyAlignment="1">
      <alignment horizontal="center" vertical="center" wrapText="1"/>
    </xf>
    <xf numFmtId="0" fontId="8" fillId="2" borderId="125" xfId="0" applyFont="1" applyFill="1" applyBorder="1" applyAlignment="1">
      <alignment horizontal="center" vertical="center" wrapText="1"/>
    </xf>
    <xf numFmtId="0" fontId="25" fillId="0" borderId="0" xfId="0" applyFont="1" applyFill="1" applyAlignment="1">
      <alignment horizontal="center" vertical="center"/>
    </xf>
  </cellXfs>
  <cellStyles count="170">
    <cellStyle name="Comma" xfId="169" builtinId="3"/>
    <cellStyle name="Comma 2" xfId="16"/>
    <cellStyle name="Currency" xfId="1" builtinId="4"/>
    <cellStyle name="Excel Built-in Normal" xfId="4"/>
    <cellStyle name="Followed Hyperlink" xfId="5"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Hyperlink" xfId="2" builtinId="8"/>
    <cellStyle name="Hyperlink 2" xfId="14"/>
    <cellStyle name="Hyperlink 48" xfId="7"/>
    <cellStyle name="Normal" xfId="0" builtinId="0"/>
    <cellStyle name="Normal 2" xfId="8"/>
    <cellStyle name="Normal 2 2" xfId="63"/>
    <cellStyle name="Normal 3" xfId="6"/>
    <cellStyle name="Percent" xfId="3" builtinId="5"/>
    <cellStyle name="Percent 2" xfId="9"/>
    <cellStyle name="Percent 2 2" xfId="64"/>
    <cellStyle name="Percent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457200</xdr:colOff>
      <xdr:row>20</xdr:row>
      <xdr:rowOff>60960</xdr:rowOff>
    </xdr:from>
    <xdr:ext cx="184731" cy="264560"/>
    <xdr:sp macro="" textlink="">
      <xdr:nvSpPr>
        <xdr:cNvPr id="2" name="TextBox 1"/>
        <xdr:cNvSpPr txBox="1"/>
      </xdr:nvSpPr>
      <xdr:spPr>
        <a:xfrm>
          <a:off x="558800" y="534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AM%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20Eli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20Emm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20Jos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20LZ%20input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20Natali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20R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midyear%20-%20Sarah%20inpu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mma/Downloads/CEA-SophieInputs2016midyea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mma/Downloads/GiveWell%20cost-effectiveness%20analysis%202016%20TT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Andrew"/>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43">
          <cell r="D43">
            <v>15</v>
          </cell>
        </row>
      </sheetData>
      <sheetData sheetId="3"/>
      <sheetData sheetId="4"/>
      <sheetData sheetId="5"/>
      <sheetData sheetId="6"/>
      <sheetData sheetId="7">
        <row r="5">
          <cell r="C5">
            <v>1E-10</v>
          </cell>
          <cell r="R5">
            <v>0</v>
          </cell>
        </row>
        <row r="6">
          <cell r="C6">
            <v>0</v>
          </cell>
        </row>
        <row r="9">
          <cell r="R9">
            <v>0</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sheetData sheetId="3"/>
      <sheetData sheetId="4"/>
      <sheetData sheetId="5"/>
      <sheetData sheetId="6"/>
      <sheetData sheetId="7">
        <row r="5">
          <cell r="C5">
            <v>0.03</v>
          </cell>
          <cell r="R5">
            <v>0.1658</v>
          </cell>
        </row>
        <row r="6">
          <cell r="C6">
            <v>0.04</v>
          </cell>
        </row>
        <row r="9">
          <cell r="R9">
            <v>1</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Sarah"/>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Parameters"/>
      <sheetName val="Sources"/>
      <sheetName val="Bednets"/>
      <sheetName val="Bednets-IR"/>
      <sheetName val="Intensity of worms"/>
      <sheetName val="YLL per death"/>
      <sheetName val="Model"/>
      <sheetName val="2015 Model"/>
      <sheetName val="2014 model"/>
    </sheetNames>
    <sheetDataSet>
      <sheetData sheetId="0"/>
      <sheetData sheetId="1"/>
      <sheetData sheetId="2">
        <row r="27">
          <cell r="D27">
            <v>0.26900000000000002</v>
          </cell>
        </row>
      </sheetData>
      <sheetData sheetId="3"/>
      <sheetData sheetId="4"/>
      <sheetData sheetId="5"/>
      <sheetData sheetId="6"/>
      <sheetData sheetId="7">
        <row r="5">
          <cell r="C5">
            <v>0.05</v>
          </cell>
          <cell r="R5">
            <v>0.1658</v>
          </cell>
        </row>
        <row r="6">
          <cell r="C6">
            <v>0.04</v>
          </cell>
        </row>
        <row r="9">
          <cell r="R9">
            <v>1</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ivewell.org/international/technical/criteria/cost-effectiveness" TargetMode="External"/><Relationship Id="rId2" Type="http://schemas.openxmlformats.org/officeDocument/2006/relationships/hyperlink" Target="http://www.givewell.org/international/technical/criteria/cost-effectiveness/cost-effectiveness-models" TargetMode="External"/><Relationship Id="rId1" Type="http://schemas.openxmlformats.org/officeDocument/2006/relationships/hyperlink" Target="http://www.givewell.org/charities/top-charities" TargetMode="External"/><Relationship Id="rId5" Type="http://schemas.openxmlformats.org/officeDocument/2006/relationships/printerSettings" Target="../printerSettings/printerSettings1.bin"/><Relationship Id="rId4" Type="http://schemas.openxmlformats.org/officeDocument/2006/relationships/hyperlink" Target="http://www.givewell.org/international/technical/criteria/cost-effectiveness"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www.givewell.org/international/technical/programs/deworming/reanalysis" TargetMode="External"/><Relationship Id="rId13" Type="http://schemas.openxmlformats.org/officeDocument/2006/relationships/hyperlink" Target="http://www.plosmedicine.org/article/info:doi/10.1371/journal.pmed.0020124" TargetMode="External"/><Relationship Id="rId18" Type="http://schemas.openxmlformats.org/officeDocument/2006/relationships/hyperlink" Target="http://data.worldbank.org/indicator/SP.POP.0014.TO.ZS/countries/SSA?display=graph" TargetMode="External"/><Relationship Id="rId3" Type="http://schemas.openxmlformats.org/officeDocument/2006/relationships/hyperlink" Target="http://www.princeton.edu/~joha/publications/Haushofer_Shapiro_Policy_Brief_2013.pdf" TargetMode="External"/><Relationship Id="rId21" Type="http://schemas.openxmlformats.org/officeDocument/2006/relationships/hyperlink" Target="http://files.givewell.org/files/DWDA%202009/Interventions/Cash%20Transfers/haushofer_shapiro_uct_2013.11.16.pdf" TargetMode="External"/><Relationship Id="rId7" Type="http://schemas.openxmlformats.org/officeDocument/2006/relationships/hyperlink" Target="http://www.givewell.org/international/top-charities/give-directly" TargetMode="External"/><Relationship Id="rId12" Type="http://schemas.openxmlformats.org/officeDocument/2006/relationships/hyperlink" Target="http://www.plosmedicine.org/article/info:doi/10.1371/journal.pmed.0020124" TargetMode="External"/><Relationship Id="rId17" Type="http://schemas.openxmlformats.org/officeDocument/2006/relationships/hyperlink" Target="http://www.princeton.edu/~joha/publications/Haushofer_Shapiro_UCT_2013.pdf" TargetMode="External"/><Relationship Id="rId2" Type="http://schemas.openxmlformats.org/officeDocument/2006/relationships/hyperlink" Target="http://www.givewell.org/node/2218" TargetMode="External"/><Relationship Id="rId16" Type="http://schemas.openxmlformats.org/officeDocument/2006/relationships/hyperlink" Target="http://www.givewell.org/international/technical/programs/salt-iodization" TargetMode="External"/><Relationship Id="rId20" Type="http://schemas.openxmlformats.org/officeDocument/2006/relationships/hyperlink" Target="http://files.givewell.org/files/DWDA%202009/Interventions/Cash%20Transfers/haushofer_shapiro_uct_2013.11.16.pdf" TargetMode="External"/><Relationship Id="rId1" Type="http://schemas.openxmlformats.org/officeDocument/2006/relationships/hyperlink" Target="http://www.givewell.org/international/technical/programs/cash-transfers" TargetMode="External"/><Relationship Id="rId6" Type="http://schemas.openxmlformats.org/officeDocument/2006/relationships/hyperlink" Target="http://www.givewell.org/international/top-charities/schistosomiasis-control-initiative" TargetMode="External"/><Relationship Id="rId11" Type="http://schemas.openxmlformats.org/officeDocument/2006/relationships/hyperlink" Target="http://www.givewell.org/international/top-charities/deworm-world-initiative" TargetMode="External"/><Relationship Id="rId24" Type="http://schemas.openxmlformats.org/officeDocument/2006/relationships/comments" Target="../comments2.xml"/><Relationship Id="rId5" Type="http://schemas.openxmlformats.org/officeDocument/2006/relationships/hyperlink" Target="http://www.givewell.org/international/technical/programs/cash-transfers/" TargetMode="External"/><Relationship Id="rId15" Type="http://schemas.openxmlformats.org/officeDocument/2006/relationships/hyperlink" Target="http://www.givewell.org/international/technical/programs/salt-iodization" TargetMode="External"/><Relationship Id="rId23" Type="http://schemas.openxmlformats.org/officeDocument/2006/relationships/vmlDrawing" Target="../drawings/vmlDrawing2.vml"/><Relationship Id="rId10" Type="http://schemas.openxmlformats.org/officeDocument/2006/relationships/hyperlink" Target="http://www.givewell.org/international/top-charities/deworm-world-initiative" TargetMode="External"/><Relationship Id="rId19" Type="http://schemas.openxmlformats.org/officeDocument/2006/relationships/hyperlink" Target="http://www.givewell.org/international/top-charities/give-directly" TargetMode="External"/><Relationship Id="rId4" Type="http://schemas.openxmlformats.org/officeDocument/2006/relationships/hyperlink" Target="http://files.givewell.org/files/DWDA%202009/Interventions/Cash%20Transfers/Haushofer_Shapiro_UCT_Online_Appendix_2013.11.15.pdf" TargetMode="External"/><Relationship Id="rId9" Type="http://schemas.openxmlformats.org/officeDocument/2006/relationships/hyperlink" Target="http://www.givewell.org/international/charities/GAIN" TargetMode="External"/><Relationship Id="rId14" Type="http://schemas.openxmlformats.org/officeDocument/2006/relationships/hyperlink" Target="http://www.givewell.org/international/top-charities/deworm-world-initiative" TargetMode="External"/><Relationship Id="rId22" Type="http://schemas.openxmlformats.org/officeDocument/2006/relationships/hyperlink" Target="https://docs.google.com/a/givewell.org/spreadsheets/d/1kDOzGhjsVU_A7N6Abx0dbrcvaXeZvnMiochvp_ceVMs/edit?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cs.google.com/spreadsheets/d/1ER-tHrewjZ-JFJnI7Urg1hJBP2XwcnQ4mt_ZKvb9ZHM/edit" TargetMode="External"/><Relationship Id="rId13" Type="http://schemas.openxmlformats.org/officeDocument/2006/relationships/hyperlink" Target="http://www.givewell.org/international/top-charities/deworm-world-initiative" TargetMode="External"/><Relationship Id="rId18" Type="http://schemas.openxmlformats.org/officeDocument/2006/relationships/hyperlink" Target="http://files.givewell.org/files/DWDA%202009/Interventions/Nets/2012%20vet/Malaria%20case%20rate%20and%20death%20rate%20information%20edited.xls" TargetMode="External"/><Relationship Id="rId26" Type="http://schemas.openxmlformats.org/officeDocument/2006/relationships/hyperlink" Target="http://siteresources.worldbank.org/DEC/Resources/Experimental_Evidence_on_Returns_to_Capital_and_Access_to_Finance_in-Mexico.pdf" TargetMode="External"/><Relationship Id="rId3" Type="http://schemas.openxmlformats.org/officeDocument/2006/relationships/hyperlink" Target="http://www.plosmedicine.org/article/info:doi/10.1371/journal.pmed.0020124" TargetMode="External"/><Relationship Id="rId21" Type="http://schemas.openxmlformats.org/officeDocument/2006/relationships/hyperlink" Target="http://files.givewell.org/files/DWDA%202009/Interventions/Iodine/Horton,%20Mannar%20and%20Wesley%202008.pdf" TargetMode="External"/><Relationship Id="rId7" Type="http://schemas.openxmlformats.org/officeDocument/2006/relationships/hyperlink" Target="http://www.givewell.org/files/DWDA%202009/SCI/SCI%20treatment%20numbers%20(October%202014).xlsx" TargetMode="External"/><Relationship Id="rId12" Type="http://schemas.openxmlformats.org/officeDocument/2006/relationships/hyperlink" Target="http://www.givewell.org/international/top-charities/schistosomiasis-control-initiative" TargetMode="External"/><Relationship Id="rId17" Type="http://schemas.openxmlformats.org/officeDocument/2006/relationships/hyperlink" Target="http://www.givewell.org/files/DWDA%202009/Interventions/Nets/Summary%20of%20ITN%20RCTs.xls" TargetMode="External"/><Relationship Id="rId25" Type="http://schemas.openxmlformats.org/officeDocument/2006/relationships/hyperlink" Target="http://qje.oxfordjournals.org/content/123/4/1329.short" TargetMode="External"/><Relationship Id="rId2" Type="http://schemas.openxmlformats.org/officeDocument/2006/relationships/hyperlink" Target="http://www.givewell.org/files/DWDA%202009/Interventions/Deworming/Miguel%20Kremer%20Worms%20-%20Identifying%20Impacts%20on%20Education%20and%20Health%20in%20the%20Presence%20of%20Treatment%20Externalities.pdf" TargetMode="External"/><Relationship Id="rId16" Type="http://schemas.openxmlformats.org/officeDocument/2006/relationships/hyperlink" Target="http://dhsprogram.com/pubs/pdf/FR247/FR247.pdf" TargetMode="External"/><Relationship Id="rId20" Type="http://schemas.openxmlformats.org/officeDocument/2006/relationships/hyperlink" Target="http://dhsprogram.com/pubs/pdf/MIS18/MIS18.pdf" TargetMode="External"/><Relationship Id="rId29" Type="http://schemas.openxmlformats.org/officeDocument/2006/relationships/hyperlink" Target="http://files.givewell.org/files/DWDA%202009/Interventions/Cash%20Transfers/haushofer_shapiro_uct_2013.11.16.pdf" TargetMode="External"/><Relationship Id="rId1" Type="http://schemas.openxmlformats.org/officeDocument/2006/relationships/hyperlink" Target="http://www.givewell.org/files/DWDA%202009/Interventions/Deworming/MK%20Reanalysis/KLPS-Labor_2012-08-05.pdf" TargetMode="External"/><Relationship Id="rId6" Type="http://schemas.openxmlformats.org/officeDocument/2006/relationships/hyperlink" Target="http://blog.givewell.org/2014/10/03/a-promising-study-on-the-long-term-effects-of-deworming/" TargetMode="External"/><Relationship Id="rId11" Type="http://schemas.openxmlformats.org/officeDocument/2006/relationships/hyperlink" Target="http://www.givewell.org/international/top-charities/give-directly" TargetMode="External"/><Relationship Id="rId24" Type="http://schemas.openxmlformats.org/officeDocument/2006/relationships/hyperlink" Target="http://www.givewell.org/files/DWDA%202009/Interventions/Cash%20Transfers/Blattman%20et%20al%202013.pdf" TargetMode="External"/><Relationship Id="rId32" Type="http://schemas.openxmlformats.org/officeDocument/2006/relationships/comments" Target="../comments3.xml"/><Relationship Id="rId5" Type="http://schemas.openxmlformats.org/officeDocument/2006/relationships/hyperlink" Target="http://www.givewell.org/files/DWDA%202009/Interventions/Nets/GiveWell%20net%20cost%20estimates%202013.xls" TargetMode="External"/><Relationship Id="rId15" Type="http://schemas.openxmlformats.org/officeDocument/2006/relationships/hyperlink" Target="http://www.cochrane.org/reviews/en/ab000363.html" TargetMode="External"/><Relationship Id="rId23" Type="http://schemas.openxmlformats.org/officeDocument/2006/relationships/hyperlink" Target="http://papers.ssrn.com/sol3/papers.cfm?abstract_id=2268552" TargetMode="External"/><Relationship Id="rId28" Type="http://schemas.openxmlformats.org/officeDocument/2006/relationships/hyperlink" Target="http://files.givewell.org/files/DWDA%202009/Interventions/Cash%20Transfers/Haushofer%20and%20Shapiro%202013.pdf" TargetMode="External"/><Relationship Id="rId10" Type="http://schemas.openxmlformats.org/officeDocument/2006/relationships/hyperlink" Target="http://www.givewell.org/international/top-charities/AMF" TargetMode="External"/><Relationship Id="rId19" Type="http://schemas.openxmlformats.org/officeDocument/2006/relationships/hyperlink" Target="https://www.againstmalaria.com/Distributions.aspx" TargetMode="External"/><Relationship Id="rId31" Type="http://schemas.openxmlformats.org/officeDocument/2006/relationships/vmlDrawing" Target="../drawings/vmlDrawing3.vml"/><Relationship Id="rId4" Type="http://schemas.openxmlformats.org/officeDocument/2006/relationships/hyperlink" Target="http://www.givewell.org/files/DWDA%202009/Interventions/Global%20Burden%20of%20Disease%20and%20Risk%20Factors.pdf" TargetMode="External"/><Relationship Id="rId9" Type="http://schemas.openxmlformats.org/officeDocument/2006/relationships/hyperlink" Target="http://www.givewell.org/files/DWDA%202009/Interventions/Deworming/Cost-effectiveness_for_deworming.xls" TargetMode="External"/><Relationship Id="rId14" Type="http://schemas.openxmlformats.org/officeDocument/2006/relationships/hyperlink" Target="http://dhsprogram.com/pubs/pdf/FR300/FR300.pdf" TargetMode="External"/><Relationship Id="rId22" Type="http://schemas.openxmlformats.org/officeDocument/2006/relationships/hyperlink" Target="http://www.givewell.org/files/DWDA%202009/GiveDirectly/household%20size%20analysis.xls" TargetMode="External"/><Relationship Id="rId27" Type="http://schemas.openxmlformats.org/officeDocument/2006/relationships/hyperlink" Target="http://www.ipc.umich.edu/mckenzie-ghana-edts-11-18-2010.pdf" TargetMode="External"/><Relationship Id="rId30" Type="http://schemas.openxmlformats.org/officeDocument/2006/relationships/hyperlink" Target="http://files.givewell.org/files/DWDA%202009/Interventions/Cash%20Transfers/Haushofer_Shapiro_UCT_Online_Appendix_2013.11.15.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givewell.org/international/top-charities/amf"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hyperlink" Target="http://data.worldbank.org/indicator/SP.POP.0014.TO.ZS/countries/SSA?display=graph" TargetMode="External"/><Relationship Id="rId1" Type="http://schemas.openxmlformats.org/officeDocument/2006/relationships/hyperlink" Target="http://www.givewell.org/node/2202" TargetMode="External"/><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8" Type="http://schemas.openxmlformats.org/officeDocument/2006/relationships/hyperlink" Target="http://files.givewell.org/files/DWDA%202009/Migration/BryanChowdhuryMobarak2014.pdf" TargetMode="External"/><Relationship Id="rId13" Type="http://schemas.openxmlformats.org/officeDocument/2006/relationships/hyperlink" Target="http://data.worldbank.org/indicator/FP.CPI.TOTL.ZG?locations=BD" TargetMode="External"/><Relationship Id="rId3" Type="http://schemas.openxmlformats.org/officeDocument/2006/relationships/hyperlink" Target="http://files.givewell.org/files/DWDA%202009/Migration/No_Lean_Season_January_2016_Update.pdf" TargetMode="External"/><Relationship Id="rId7" Type="http://schemas.openxmlformats.org/officeDocument/2006/relationships/hyperlink" Target="http://files.givewell.org/files/DWDA%202009/Migration/No_Lean_Season_January_2016_Update.pdf" TargetMode="External"/><Relationship Id="rId12" Type="http://schemas.openxmlformats.org/officeDocument/2006/relationships/hyperlink" Target="http://files.givewell.org/files/DWDA%202009/Migration/BryanChowdhuryMobarak2014.pdf" TargetMode="External"/><Relationship Id="rId2" Type="http://schemas.openxmlformats.org/officeDocument/2006/relationships/hyperlink" Target="http://www.oanda.com/currency/historical-rates/" TargetMode="External"/><Relationship Id="rId1" Type="http://schemas.openxmlformats.org/officeDocument/2006/relationships/hyperlink" Target="http://files.givewell.org/files/DWDA%202009/Migration/No_Lean_Season_January_2016_Update.pdf" TargetMode="External"/><Relationship Id="rId6" Type="http://schemas.openxmlformats.org/officeDocument/2006/relationships/hyperlink" Target="http://files.givewell.org/files/DWDA%202009/Migration/No_Lean_Season_January_2016_Update.pdf" TargetMode="External"/><Relationship Id="rId11" Type="http://schemas.openxmlformats.org/officeDocument/2006/relationships/hyperlink" Target="http://files.givewell.org/files/DWDA%202009/Migration/No_Lean_Season_January_2016_Update.pdf" TargetMode="External"/><Relationship Id="rId5" Type="http://schemas.openxmlformats.org/officeDocument/2006/relationships/hyperlink" Target="http://files.givewell.org/files/DWDA%202009/Migration/No_Lean_Season_January_2016_Update.pdf" TargetMode="External"/><Relationship Id="rId10" Type="http://schemas.openxmlformats.org/officeDocument/2006/relationships/hyperlink" Target="http://files.givewell.org/files/DWDA%202009/Migration/BryanChowdhuryMobarak2014.pdf" TargetMode="External"/><Relationship Id="rId4" Type="http://schemas.openxmlformats.org/officeDocument/2006/relationships/hyperlink" Target="http://files.givewell.org/files/DWDA%202009/Migration/No_Lean_Season_January_2016_Update.pdf" TargetMode="External"/><Relationship Id="rId9" Type="http://schemas.openxmlformats.org/officeDocument/2006/relationships/hyperlink" Target="http://files.givewell.org/files/DWDA%202009/Migration/No_Lean_Season_January_2016_Update.pdf" TargetMode="External"/><Relationship Id="rId14" Type="http://schemas.openxmlformats.org/officeDocument/2006/relationships/hyperlink" Target="http://data.worldbank.org/indicator/FP.CPI.TOTL.ZG?locations=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workbookViewId="0"/>
  </sheetViews>
  <sheetFormatPr defaultColWidth="8.85546875" defaultRowHeight="15" x14ac:dyDescent="0.25"/>
  <sheetData>
    <row r="1" spans="1:50" x14ac:dyDescent="0.25">
      <c r="A1" s="83" t="s">
        <v>47</v>
      </c>
      <c r="N1" s="231"/>
      <c r="AC1" s="231"/>
      <c r="AD1" s="231"/>
      <c r="AR1" s="231"/>
      <c r="AV1" s="231"/>
      <c r="AW1" s="231"/>
      <c r="AX1" s="231"/>
    </row>
    <row r="2" spans="1:50" x14ac:dyDescent="0.25">
      <c r="A2" t="s">
        <v>719</v>
      </c>
      <c r="N2" s="231"/>
      <c r="AC2" s="231"/>
      <c r="AD2" s="231"/>
      <c r="AR2" s="231"/>
      <c r="AV2" s="231"/>
      <c r="AW2" s="231"/>
      <c r="AX2" s="231"/>
    </row>
    <row r="3" spans="1:50" x14ac:dyDescent="0.25">
      <c r="A3" t="s">
        <v>451</v>
      </c>
    </row>
    <row r="4" spans="1:50" s="231" customFormat="1" x14ac:dyDescent="0.25">
      <c r="A4" s="231" t="s">
        <v>453</v>
      </c>
    </row>
    <row r="5" spans="1:50" x14ac:dyDescent="0.25">
      <c r="A5" t="s">
        <v>452</v>
      </c>
    </row>
    <row r="6" spans="1:50" s="231" customFormat="1" x14ac:dyDescent="0.25">
      <c r="A6" s="231" t="s">
        <v>718</v>
      </c>
    </row>
    <row r="7" spans="1:50" s="231" customFormat="1" x14ac:dyDescent="0.25">
      <c r="A7" s="231" t="s">
        <v>492</v>
      </c>
    </row>
    <row r="8" spans="1:50" x14ac:dyDescent="0.25">
      <c r="A8" t="s">
        <v>717</v>
      </c>
      <c r="N8" s="231"/>
      <c r="AC8" s="231"/>
      <c r="AD8" s="231"/>
      <c r="AR8" s="231"/>
      <c r="AV8" s="231"/>
      <c r="AW8" s="231"/>
      <c r="AX8" s="231"/>
    </row>
    <row r="12" spans="1:50" x14ac:dyDescent="0.25">
      <c r="A12" s="83" t="s">
        <v>497</v>
      </c>
    </row>
    <row r="13" spans="1:50" x14ac:dyDescent="0.25">
      <c r="A13" s="274" t="s">
        <v>498</v>
      </c>
    </row>
    <row r="14" spans="1:50" x14ac:dyDescent="0.25">
      <c r="A14" s="274" t="s">
        <v>672</v>
      </c>
    </row>
    <row r="15" spans="1:50" x14ac:dyDescent="0.25">
      <c r="A15" s="274" t="s">
        <v>499</v>
      </c>
    </row>
    <row r="16" spans="1:50" x14ac:dyDescent="0.25">
      <c r="A16" s="274" t="s">
        <v>500</v>
      </c>
    </row>
  </sheetData>
  <hyperlinks>
    <hyperlink ref="A13" r:id="rId1" display="GiveWell Top Charities"/>
    <hyperlink ref="A14" r:id="rId2" display="Other cost-effectiveness analyses (including past year's versions)"/>
    <hyperlink ref="A15" r:id="rId3"/>
    <hyperlink ref="A16" r:id="rId4" location="MoreonGiveWellsviewsoncosteffectivenessestimates"/>
  </hyperlinks>
  <pageMargins left="0.7" right="0.7" top="0.75" bottom="0.75" header="0.3" footer="0.3"/>
  <pageSetup paperSize="9" orientation="portrait"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1"/>
  <sheetViews>
    <sheetView workbookViewId="0">
      <pane xSplit="2" ySplit="4" topLeftCell="C5" activePane="bottomRight" state="frozen"/>
      <selection pane="topRight" activeCell="C1" sqref="C1"/>
      <selection pane="bottomLeft" activeCell="A6" sqref="A6"/>
      <selection pane="bottomRight" activeCell="U17" sqref="U17"/>
    </sheetView>
  </sheetViews>
  <sheetFormatPr defaultColWidth="8.85546875" defaultRowHeight="15" x14ac:dyDescent="0.25"/>
  <cols>
    <col min="1" max="1" width="1.140625" customWidth="1"/>
    <col min="2" max="2" width="28.42578125" bestFit="1" customWidth="1"/>
    <col min="3" max="3" width="8.140625" customWidth="1"/>
    <col min="4" max="4" width="4.85546875" bestFit="1" customWidth="1"/>
    <col min="5" max="5" width="8.140625" hidden="1" customWidth="1"/>
    <col min="6" max="6" width="8.140625" customWidth="1"/>
    <col min="7" max="7" width="9.42578125" customWidth="1"/>
    <col min="8" max="8" width="10.42578125" bestFit="1" customWidth="1"/>
    <col min="9" max="9" width="11.140625" bestFit="1" customWidth="1"/>
    <col min="10" max="10" width="12.140625" customWidth="1"/>
    <col min="11" max="11" width="11" customWidth="1"/>
    <col min="12" max="12" width="10.42578125" hidden="1" customWidth="1"/>
    <col min="13" max="13" width="6.85546875" customWidth="1"/>
    <col min="14" max="14" width="7.42578125" customWidth="1"/>
    <col min="15" max="15" width="6.140625" style="231" bestFit="1" customWidth="1"/>
    <col min="16" max="16" width="7.42578125" hidden="1" customWidth="1"/>
    <col min="17" max="17" width="12.42578125" hidden="1" customWidth="1"/>
    <col min="18" max="18" width="13.42578125" hidden="1" customWidth="1"/>
    <col min="19" max="19" width="15.140625" hidden="1" customWidth="1"/>
    <col min="20" max="20" width="5" customWidth="1"/>
    <col min="21" max="21" width="8.42578125" customWidth="1"/>
    <col min="24" max="24" width="10" customWidth="1"/>
    <col min="25" max="25" width="10" style="231" customWidth="1"/>
    <col min="26" max="30" width="10" customWidth="1"/>
    <col min="31" max="31" width="8" style="231" customWidth="1"/>
    <col min="32" max="32" width="11.28515625" style="231" customWidth="1"/>
    <col min="33" max="35" width="10" customWidth="1"/>
    <col min="40" max="43" width="8.85546875" customWidth="1"/>
    <col min="46" max="47" width="8.85546875" style="231"/>
    <col min="48" max="48" width="10" style="231" customWidth="1"/>
    <col min="49" max="49" width="3.140625" customWidth="1"/>
    <col min="52" max="52" width="8.85546875" style="231"/>
    <col min="53" max="54" width="9.42578125" style="231" customWidth="1"/>
  </cols>
  <sheetData>
    <row r="1" spans="2:55" x14ac:dyDescent="0.25">
      <c r="C1" s="83" t="s">
        <v>293</v>
      </c>
      <c r="F1" s="309" t="s">
        <v>426</v>
      </c>
      <c r="N1" s="82"/>
      <c r="O1" s="82"/>
      <c r="P1" s="82"/>
      <c r="U1" s="196" t="s">
        <v>297</v>
      </c>
      <c r="V1" s="176"/>
      <c r="W1" s="309" t="s">
        <v>426</v>
      </c>
      <c r="X1" s="176"/>
      <c r="Y1" s="336"/>
      <c r="Z1" s="176"/>
      <c r="AA1" s="176"/>
      <c r="AB1" s="176"/>
      <c r="AC1" s="176"/>
      <c r="AD1" s="176"/>
      <c r="AE1" s="336"/>
      <c r="AF1" s="336"/>
      <c r="AG1" s="176"/>
      <c r="AH1" s="176"/>
      <c r="AI1" s="176"/>
      <c r="AJ1" s="176"/>
      <c r="AK1" s="176"/>
      <c r="AL1" s="176"/>
      <c r="AM1" s="176"/>
      <c r="AN1" s="176"/>
      <c r="AO1" s="176"/>
      <c r="AP1" s="176"/>
      <c r="AQ1" s="176"/>
      <c r="AR1" s="176"/>
      <c r="AS1" s="176"/>
      <c r="AT1" s="336"/>
      <c r="AU1" s="336"/>
      <c r="AV1" s="336"/>
      <c r="AW1" s="176"/>
      <c r="AX1" s="176"/>
      <c r="AY1" s="176"/>
      <c r="AZ1" s="336"/>
      <c r="BA1" s="336"/>
      <c r="BB1" s="336"/>
    </row>
    <row r="2" spans="2:55" s="178" customFormat="1" ht="63" customHeight="1" x14ac:dyDescent="0.25">
      <c r="C2" s="746" t="s">
        <v>34</v>
      </c>
      <c r="D2" s="747"/>
      <c r="E2" s="747"/>
      <c r="F2" s="748"/>
      <c r="G2" s="753" t="s">
        <v>46</v>
      </c>
      <c r="H2" s="755" t="s">
        <v>212</v>
      </c>
      <c r="I2" s="750" t="s">
        <v>152</v>
      </c>
      <c r="J2" s="751"/>
      <c r="K2" s="751"/>
      <c r="L2" s="752"/>
      <c r="M2" s="749" t="s">
        <v>155</v>
      </c>
      <c r="N2" s="747"/>
      <c r="O2" s="747"/>
      <c r="P2" s="748"/>
      <c r="Q2" s="735" t="s">
        <v>296</v>
      </c>
      <c r="R2" s="736"/>
      <c r="S2" s="736"/>
      <c r="U2" s="739" t="s">
        <v>0</v>
      </c>
      <c r="V2" s="737" t="s">
        <v>3</v>
      </c>
      <c r="W2" s="737" t="s">
        <v>5</v>
      </c>
      <c r="X2" s="737" t="s">
        <v>1</v>
      </c>
      <c r="Y2" s="737" t="s">
        <v>507</v>
      </c>
      <c r="Z2" s="737" t="s">
        <v>19</v>
      </c>
      <c r="AA2" s="737" t="s">
        <v>662</v>
      </c>
      <c r="AB2" s="737" t="s">
        <v>6</v>
      </c>
      <c r="AC2" s="737" t="s">
        <v>146</v>
      </c>
      <c r="AD2" s="737" t="s">
        <v>323</v>
      </c>
      <c r="AE2" s="737" t="s">
        <v>301</v>
      </c>
      <c r="AF2" s="737" t="s">
        <v>560</v>
      </c>
      <c r="AG2" s="737" t="s">
        <v>2</v>
      </c>
      <c r="AH2" s="737" t="s">
        <v>216</v>
      </c>
      <c r="AI2" s="739" t="s">
        <v>199</v>
      </c>
      <c r="AJ2" s="744" t="s">
        <v>278</v>
      </c>
      <c r="AK2" s="745"/>
      <c r="AL2" s="744" t="s">
        <v>279</v>
      </c>
      <c r="AM2" s="745"/>
      <c r="AN2" s="744" t="s">
        <v>422</v>
      </c>
      <c r="AO2" s="745"/>
      <c r="AP2" s="744" t="s">
        <v>57</v>
      </c>
      <c r="AQ2" s="745"/>
      <c r="AR2" s="744" t="s">
        <v>280</v>
      </c>
      <c r="AS2" s="745"/>
      <c r="AT2" s="737" t="s">
        <v>519</v>
      </c>
      <c r="AU2" s="737" t="s">
        <v>520</v>
      </c>
      <c r="AV2" s="757" t="s">
        <v>433</v>
      </c>
      <c r="AX2" s="741" t="s">
        <v>409</v>
      </c>
      <c r="AY2" s="742"/>
      <c r="AZ2" s="743"/>
      <c r="BA2" s="733" t="s">
        <v>288</v>
      </c>
      <c r="BB2" s="733" t="s">
        <v>289</v>
      </c>
      <c r="BC2" s="432"/>
    </row>
    <row r="3" spans="2:55" s="178" customFormat="1" ht="26.1" customHeight="1" x14ac:dyDescent="0.25">
      <c r="B3" s="179" t="s">
        <v>454</v>
      </c>
      <c r="C3" s="155" t="s">
        <v>33</v>
      </c>
      <c r="D3" s="156" t="s">
        <v>32</v>
      </c>
      <c r="E3" s="156" t="s">
        <v>168</v>
      </c>
      <c r="F3" s="434" t="s">
        <v>14</v>
      </c>
      <c r="G3" s="754"/>
      <c r="H3" s="756"/>
      <c r="I3" s="157" t="s">
        <v>33</v>
      </c>
      <c r="J3" s="158" t="s">
        <v>32</v>
      </c>
      <c r="K3" s="158" t="s">
        <v>38</v>
      </c>
      <c r="L3" s="197" t="s">
        <v>168</v>
      </c>
      <c r="M3" s="156" t="s">
        <v>33</v>
      </c>
      <c r="N3" s="156" t="s">
        <v>32</v>
      </c>
      <c r="O3" s="156" t="s">
        <v>38</v>
      </c>
      <c r="P3" s="156" t="s">
        <v>168</v>
      </c>
      <c r="Q3" s="158" t="s">
        <v>33</v>
      </c>
      <c r="R3" s="158" t="s">
        <v>32</v>
      </c>
      <c r="S3" s="159" t="s">
        <v>168</v>
      </c>
      <c r="U3" s="740"/>
      <c r="V3" s="738"/>
      <c r="W3" s="738"/>
      <c r="X3" s="738"/>
      <c r="Y3" s="738"/>
      <c r="Z3" s="738"/>
      <c r="AA3" s="738"/>
      <c r="AB3" s="738"/>
      <c r="AC3" s="738"/>
      <c r="AD3" s="738"/>
      <c r="AE3" s="738"/>
      <c r="AF3" s="738"/>
      <c r="AG3" s="738"/>
      <c r="AH3" s="738"/>
      <c r="AI3" s="740"/>
      <c r="AJ3" s="198" t="s">
        <v>33</v>
      </c>
      <c r="AK3" s="198" t="s">
        <v>32</v>
      </c>
      <c r="AL3" s="198" t="s">
        <v>33</v>
      </c>
      <c r="AM3" s="198" t="s">
        <v>32</v>
      </c>
      <c r="AN3" s="198" t="s">
        <v>33</v>
      </c>
      <c r="AO3" s="198" t="s">
        <v>32</v>
      </c>
      <c r="AP3" s="198" t="s">
        <v>33</v>
      </c>
      <c r="AQ3" s="198" t="s">
        <v>32</v>
      </c>
      <c r="AR3" s="198" t="s">
        <v>33</v>
      </c>
      <c r="AS3" s="198" t="s">
        <v>32</v>
      </c>
      <c r="AT3" s="738"/>
      <c r="AU3" s="738"/>
      <c r="AV3" s="758"/>
      <c r="AX3" s="182" t="s">
        <v>33</v>
      </c>
      <c r="AY3" s="182" t="s">
        <v>32</v>
      </c>
      <c r="AZ3" s="182" t="s">
        <v>38</v>
      </c>
      <c r="BA3" s="734"/>
      <c r="BB3" s="734"/>
    </row>
    <row r="4" spans="2:55" s="309" customFormat="1" ht="2.1" hidden="1" customHeight="1" x14ac:dyDescent="0.25">
      <c r="C4" s="431" t="s">
        <v>153</v>
      </c>
      <c r="D4" s="431" t="s">
        <v>154</v>
      </c>
      <c r="E4" s="431" t="s">
        <v>711</v>
      </c>
      <c r="F4" s="431" t="s">
        <v>697</v>
      </c>
      <c r="G4" s="431" t="s">
        <v>698</v>
      </c>
      <c r="H4" s="431" t="s">
        <v>699</v>
      </c>
      <c r="I4" s="431" t="s">
        <v>208</v>
      </c>
      <c r="J4" s="431" t="s">
        <v>294</v>
      </c>
      <c r="K4" s="431" t="s">
        <v>700</v>
      </c>
      <c r="L4" s="431" t="s">
        <v>712</v>
      </c>
      <c r="M4" s="431" t="s">
        <v>424</v>
      </c>
      <c r="N4" s="431" t="s">
        <v>425</v>
      </c>
      <c r="O4" s="431" t="s">
        <v>701</v>
      </c>
      <c r="P4" s="431" t="s">
        <v>713</v>
      </c>
      <c r="Q4" s="431" t="s">
        <v>295</v>
      </c>
      <c r="R4" s="431" t="s">
        <v>714</v>
      </c>
      <c r="S4" s="431" t="s">
        <v>715</v>
      </c>
      <c r="U4" s="431" t="s">
        <v>259</v>
      </c>
      <c r="V4" s="431" t="s">
        <v>260</v>
      </c>
      <c r="W4" s="431" t="s">
        <v>261</v>
      </c>
      <c r="X4" s="431" t="s">
        <v>266</v>
      </c>
      <c r="Y4" s="431" t="s">
        <v>267</v>
      </c>
      <c r="Z4" s="431" t="s">
        <v>705</v>
      </c>
      <c r="AA4" s="431" t="s">
        <v>262</v>
      </c>
      <c r="AB4" s="431" t="s">
        <v>263</v>
      </c>
      <c r="AC4" s="431" t="s">
        <v>264</v>
      </c>
      <c r="AD4" s="431" t="s">
        <v>265</v>
      </c>
      <c r="AE4" s="431" t="s">
        <v>423</v>
      </c>
      <c r="AF4" s="431" t="s">
        <v>268</v>
      </c>
      <c r="AG4" s="431" t="s">
        <v>716</v>
      </c>
      <c r="AH4" s="431" t="s">
        <v>706</v>
      </c>
      <c r="AI4" s="431" t="s">
        <v>707</v>
      </c>
      <c r="AJ4" s="431" t="s">
        <v>269</v>
      </c>
      <c r="AK4" s="431" t="s">
        <v>270</v>
      </c>
      <c r="AL4" s="431" t="s">
        <v>271</v>
      </c>
      <c r="AM4" s="431" t="s">
        <v>272</v>
      </c>
      <c r="AN4" s="431" t="s">
        <v>273</v>
      </c>
      <c r="AO4" s="431" t="s">
        <v>708</v>
      </c>
      <c r="AP4" s="431" t="s">
        <v>274</v>
      </c>
      <c r="AQ4" s="431" t="s">
        <v>275</v>
      </c>
      <c r="AR4" s="431" t="s">
        <v>276</v>
      </c>
      <c r="AS4" s="431" t="s">
        <v>277</v>
      </c>
      <c r="AT4" s="431" t="s">
        <v>446</v>
      </c>
      <c r="AU4" s="431" t="s">
        <v>709</v>
      </c>
      <c r="AV4" s="431" t="s">
        <v>710</v>
      </c>
      <c r="AX4" s="431" t="s">
        <v>420</v>
      </c>
      <c r="AY4" s="431" t="s">
        <v>421</v>
      </c>
      <c r="AZ4" s="431" t="s">
        <v>440</v>
      </c>
      <c r="BA4" s="431" t="s">
        <v>441</v>
      </c>
      <c r="BB4" s="431" t="s">
        <v>442</v>
      </c>
    </row>
    <row r="5" spans="2:55" x14ac:dyDescent="0.25">
      <c r="B5" s="275" t="s">
        <v>439</v>
      </c>
      <c r="C5" s="416">
        <f t="shared" ref="C5:L14" ca="1" si="0">IFERROR(INDIRECT("'"&amp;$B5&amp;"'!"&amp;C$4),"-")</f>
        <v>2.9343510343484491E-2</v>
      </c>
      <c r="D5" s="416">
        <f t="shared" ca="1" si="0"/>
        <v>2.5753035965177747E-2</v>
      </c>
      <c r="E5" s="416">
        <f t="shared" ca="1" si="0"/>
        <v>2.2280002168163129E-2</v>
      </c>
      <c r="F5" s="416">
        <f t="shared" ca="1" si="0"/>
        <v>3.0606143633074481E-3</v>
      </c>
      <c r="G5" s="340">
        <f t="shared" ca="1" si="0"/>
        <v>0.8750978617670585</v>
      </c>
      <c r="H5" s="414">
        <f t="shared" ca="1" si="0"/>
        <v>3091</v>
      </c>
      <c r="I5" s="414">
        <f t="shared" ca="1" si="0"/>
        <v>1635.7961074912105</v>
      </c>
      <c r="J5" s="414">
        <f t="shared" ca="1" si="0"/>
        <v>1863.8579181461841</v>
      </c>
      <c r="K5" s="414">
        <f t="shared" ca="1" si="0"/>
        <v>2299.9017261030845</v>
      </c>
      <c r="L5" s="414" t="str">
        <f t="shared" ca="1" si="0"/>
        <v>-</v>
      </c>
      <c r="M5" s="415">
        <f t="shared" ref="M5:S14" ca="1" si="1">IFERROR(INDIRECT("'"&amp;$B5&amp;"'!"&amp;M$4),"-")</f>
        <v>9.5874575690661246</v>
      </c>
      <c r="N5" s="415">
        <f t="shared" ca="1" si="1"/>
        <v>8.4143354595473348</v>
      </c>
      <c r="O5" s="415">
        <f t="shared" ca="1" si="1"/>
        <v>6.8190416982680127</v>
      </c>
      <c r="P5" s="184">
        <f t="shared" ca="1" si="1"/>
        <v>7.2795849210111792</v>
      </c>
      <c r="Q5" s="415">
        <f t="shared" ca="1" si="1"/>
        <v>14.672570522339299</v>
      </c>
      <c r="R5" s="415">
        <f t="shared" ca="1" si="1"/>
        <v>3.5744142189931551</v>
      </c>
      <c r="S5" s="184" t="str">
        <f t="shared" ca="1" si="1"/>
        <v>N/A</v>
      </c>
      <c r="U5" s="177">
        <f t="shared" ref="U5:AG14" ca="1" si="2">IF(ISBLANK(IFERROR(INDIRECT("'"&amp;$B5&amp;"'!"&amp;U$4),"-")),"-",IFERROR(INDIRECT("'"&amp;$B5&amp;"'!"&amp;U$4),"-"))</f>
        <v>0.05</v>
      </c>
      <c r="V5" s="177">
        <f t="shared" ca="1" si="2"/>
        <v>0.15</v>
      </c>
      <c r="W5" s="177">
        <f t="shared" ca="1" si="2"/>
        <v>0.25</v>
      </c>
      <c r="X5" s="71">
        <f t="shared" ca="1" si="2"/>
        <v>20</v>
      </c>
      <c r="Y5" s="177">
        <f t="shared" ca="1" si="2"/>
        <v>0</v>
      </c>
      <c r="Z5" s="177">
        <f t="shared" ca="1" si="2"/>
        <v>0.82799999999999996</v>
      </c>
      <c r="AA5" s="177">
        <f t="shared" ca="1" si="2"/>
        <v>0.56060606060606055</v>
      </c>
      <c r="AB5" s="177">
        <f t="shared" ca="1" si="2"/>
        <v>0.5</v>
      </c>
      <c r="AC5" s="177">
        <f t="shared" ca="1" si="2"/>
        <v>0.75</v>
      </c>
      <c r="AD5" s="413">
        <f t="shared" ca="1" si="2"/>
        <v>4</v>
      </c>
      <c r="AE5" s="413">
        <f t="shared" ca="1" si="2"/>
        <v>1.2</v>
      </c>
      <c r="AF5" s="413">
        <f t="shared" ca="1" si="2"/>
        <v>8</v>
      </c>
      <c r="AG5" s="663">
        <f t="shared" ca="1" si="2"/>
        <v>1.7608179999999999E-3</v>
      </c>
      <c r="AH5" s="71">
        <f t="shared" ref="AH5:AV14" ca="1" si="3">IF(ISBLANK(IFERROR(INDIRECT("'"&amp;$B5&amp;"'!"&amp;AH$4),"-")),"-",IFERROR(INDIRECT("'"&amp;$B5&amp;"'!"&amp;AH$4),"-"))</f>
        <v>25</v>
      </c>
      <c r="AI5" s="177">
        <f t="shared" ca="1" si="3"/>
        <v>0.3</v>
      </c>
      <c r="AJ5" s="177">
        <f t="shared" ca="1" si="3"/>
        <v>0.2145</v>
      </c>
      <c r="AK5" s="177">
        <f t="shared" ca="1" si="3"/>
        <v>0.26300000000000001</v>
      </c>
      <c r="AL5" s="177">
        <f t="shared" ca="1" si="3"/>
        <v>1</v>
      </c>
      <c r="AM5" s="177">
        <f t="shared" ca="1" si="3"/>
        <v>1</v>
      </c>
      <c r="AN5" s="177">
        <f t="shared" ca="1" si="3"/>
        <v>1</v>
      </c>
      <c r="AO5" s="177">
        <f t="shared" ca="1" si="3"/>
        <v>1</v>
      </c>
      <c r="AP5" s="177">
        <f t="shared" ca="1" si="3"/>
        <v>1</v>
      </c>
      <c r="AQ5" s="177">
        <f t="shared" ca="1" si="3"/>
        <v>0.75</v>
      </c>
      <c r="AR5" s="180">
        <f t="shared" ca="1" si="3"/>
        <v>0.67</v>
      </c>
      <c r="AS5" s="180">
        <f t="shared" ca="1" si="3"/>
        <v>0.72</v>
      </c>
      <c r="AT5" s="177">
        <f t="shared" ca="1" si="3"/>
        <v>0.75</v>
      </c>
      <c r="AU5" s="661">
        <f t="shared" ca="1" si="3"/>
        <v>12</v>
      </c>
      <c r="AV5" s="177">
        <f t="shared" ca="1" si="3"/>
        <v>2</v>
      </c>
      <c r="AX5" s="181">
        <f t="shared" ref="AX5:BB14" ca="1" si="4">IF(ISBLANK(IFERROR(INDIRECT("'"&amp;$B5&amp;"'!"&amp;AX$4),"-")),"-",IFERROR(INDIRECT("'"&amp;$B5&amp;"'!"&amp;AX$4),"-"))</f>
        <v>1.3528124999999998E-2</v>
      </c>
      <c r="AY5" s="181">
        <f t="shared" ca="1" si="4"/>
        <v>1.6586931818181817E-2</v>
      </c>
      <c r="AZ5" s="181">
        <f t="shared" ca="1" si="4"/>
        <v>6.3068181818181815E-2</v>
      </c>
      <c r="BA5" s="181" t="str">
        <f t="shared" ca="1" si="4"/>
        <v>-</v>
      </c>
      <c r="BB5" s="181" t="str">
        <f t="shared" ca="1" si="4"/>
        <v>-</v>
      </c>
    </row>
    <row r="6" spans="2:55" x14ac:dyDescent="0.25">
      <c r="B6" s="275" t="s">
        <v>437</v>
      </c>
      <c r="C6" s="416">
        <f t="shared" ca="1" si="0"/>
        <v>3.9208963651180019E-2</v>
      </c>
      <c r="D6" s="416">
        <f t="shared" ca="1" si="0"/>
        <v>2.4657849342426631E-2</v>
      </c>
      <c r="E6" s="416" t="str">
        <f t="shared" ca="1" si="0"/>
        <v>-</v>
      </c>
      <c r="F6" s="416">
        <f t="shared" ca="1" si="0"/>
        <v>3.422000890156885E-3</v>
      </c>
      <c r="G6" s="340">
        <f t="shared" ca="1" si="0"/>
        <v>0.97842632441454225</v>
      </c>
      <c r="H6" s="414">
        <f t="shared" ca="1" si="0"/>
        <v>3460.5326115592329</v>
      </c>
      <c r="I6" s="414">
        <f t="shared" ca="1" si="0"/>
        <v>2295.3934921789596</v>
      </c>
      <c r="J6" s="414">
        <f t="shared" ca="1" si="0"/>
        <v>3649.953357657384</v>
      </c>
      <c r="K6" s="414">
        <f t="shared" ca="1" si="0"/>
        <v>2205.2155885388529</v>
      </c>
      <c r="L6" s="414" t="str">
        <f t="shared" ca="1" si="0"/>
        <v>-</v>
      </c>
      <c r="M6" s="415">
        <f t="shared" ca="1" si="1"/>
        <v>11.457905742795539</v>
      </c>
      <c r="N6" s="415">
        <f t="shared" ca="1" si="1"/>
        <v>7.2056817440793148</v>
      </c>
      <c r="O6" s="415">
        <f t="shared" ca="1" si="1"/>
        <v>11.926453999646862</v>
      </c>
      <c r="P6" s="184" t="str">
        <f t="shared" ca="1" si="1"/>
        <v>-</v>
      </c>
      <c r="Q6" s="415">
        <f t="shared" ca="1" si="1"/>
        <v>61.460152746492867</v>
      </c>
      <c r="R6" s="415">
        <f t="shared" ca="1" si="1"/>
        <v>11.105547146525566</v>
      </c>
      <c r="S6" s="184" t="str">
        <f t="shared" ca="1" si="1"/>
        <v>N/A</v>
      </c>
      <c r="U6" s="177">
        <f t="shared" ca="1" si="2"/>
        <v>0.03</v>
      </c>
      <c r="V6" s="177">
        <f t="shared" ca="1" si="2"/>
        <v>0.1</v>
      </c>
      <c r="W6" s="177">
        <f t="shared" ca="1" si="2"/>
        <v>0.5</v>
      </c>
      <c r="X6" s="71">
        <f t="shared" ca="1" si="2"/>
        <v>20</v>
      </c>
      <c r="Y6" s="177">
        <f t="shared" ca="1" si="2"/>
        <v>0.1</v>
      </c>
      <c r="Z6" s="177">
        <f t="shared" ca="1" si="2"/>
        <v>0.82799999999999996</v>
      </c>
      <c r="AA6" s="177">
        <f t="shared" ca="1" si="2"/>
        <v>0.9</v>
      </c>
      <c r="AB6" s="177">
        <f t="shared" ca="1" si="2"/>
        <v>0.35</v>
      </c>
      <c r="AC6" s="177">
        <f t="shared" ca="1" si="2"/>
        <v>0.75</v>
      </c>
      <c r="AD6" s="413">
        <f t="shared" ca="1" si="2"/>
        <v>3</v>
      </c>
      <c r="AE6" s="413">
        <f t="shared" ca="1" si="2"/>
        <v>1.1000000000000001</v>
      </c>
      <c r="AF6" s="413">
        <f t="shared" ca="1" si="2"/>
        <v>10</v>
      </c>
      <c r="AG6" s="663">
        <f t="shared" ca="1" si="2"/>
        <v>1.7608179999999999E-3</v>
      </c>
      <c r="AH6" s="71">
        <f t="shared" ca="1" si="3"/>
        <v>20</v>
      </c>
      <c r="AI6" s="177">
        <f t="shared" ca="1" si="3"/>
        <v>0.25</v>
      </c>
      <c r="AJ6" s="177">
        <f t="shared" ca="1" si="3"/>
        <v>0.24959999999999999</v>
      </c>
      <c r="AK6" s="177">
        <f t="shared" ca="1" si="3"/>
        <v>0.19389999999999999</v>
      </c>
      <c r="AL6" s="177">
        <f t="shared" ca="1" si="3"/>
        <v>1</v>
      </c>
      <c r="AM6" s="177">
        <f t="shared" ca="1" si="3"/>
        <v>1</v>
      </c>
      <c r="AN6" s="177">
        <f t="shared" ca="1" si="3"/>
        <v>1</v>
      </c>
      <c r="AO6" s="177">
        <f t="shared" ca="1" si="3"/>
        <v>1</v>
      </c>
      <c r="AP6" s="177">
        <f t="shared" ca="1" si="3"/>
        <v>1</v>
      </c>
      <c r="AQ6" s="177">
        <f t="shared" ca="1" si="3"/>
        <v>0.75</v>
      </c>
      <c r="AR6" s="180">
        <f t="shared" ca="1" si="3"/>
        <v>0.56000000000000005</v>
      </c>
      <c r="AS6" s="180">
        <f t="shared" ca="1" si="3"/>
        <v>0.5292</v>
      </c>
      <c r="AT6" s="177">
        <f t="shared" ca="1" si="3"/>
        <v>0.86</v>
      </c>
      <c r="AU6" s="661">
        <f t="shared" ca="1" si="3"/>
        <v>30</v>
      </c>
      <c r="AV6" s="177">
        <f t="shared" ca="1" si="3"/>
        <v>1</v>
      </c>
      <c r="AX6" s="181">
        <f t="shared" ca="1" si="4"/>
        <v>1.4742E-2</v>
      </c>
      <c r="AY6" s="181">
        <f t="shared" ca="1" si="4"/>
        <v>1.145221875E-2</v>
      </c>
      <c r="AZ6" s="181">
        <f t="shared" ca="1" si="4"/>
        <v>5.9062500000000004E-2</v>
      </c>
      <c r="BA6" s="181" t="str">
        <f t="shared" ca="1" si="4"/>
        <v>-</v>
      </c>
      <c r="BB6" s="181" t="str">
        <f t="shared" ca="1" si="4"/>
        <v>-</v>
      </c>
    </row>
    <row r="7" spans="2:55" s="231" customFormat="1" x14ac:dyDescent="0.25">
      <c r="B7" s="275" t="s">
        <v>702</v>
      </c>
      <c r="C7" s="416">
        <f t="shared" ca="1" si="0"/>
        <v>2.9606093308913183E-2</v>
      </c>
      <c r="D7" s="416">
        <f t="shared" ca="1" si="0"/>
        <v>2.0812025804869367E-2</v>
      </c>
      <c r="E7" s="416">
        <f t="shared" ca="1" si="0"/>
        <v>1.7739842876631096E-2</v>
      </c>
      <c r="F7" s="416">
        <f t="shared" ca="1" si="0"/>
        <v>3.0882023391384417E-3</v>
      </c>
      <c r="G7" s="340">
        <f t="shared" ca="1" si="0"/>
        <v>0.88298587894087011</v>
      </c>
      <c r="H7" s="414">
        <f t="shared" ca="1" si="0"/>
        <v>3841</v>
      </c>
      <c r="I7" s="414">
        <f t="shared" ca="1" si="0"/>
        <v>3039.9147587940852</v>
      </c>
      <c r="J7" s="414">
        <f t="shared" ca="1" si="0"/>
        <v>4324.4228526250818</v>
      </c>
      <c r="K7" s="414">
        <f t="shared" ca="1" si="0"/>
        <v>2687.0488443205418</v>
      </c>
      <c r="L7" s="414" t="str">
        <f t="shared" ca="1" si="0"/>
        <v>-</v>
      </c>
      <c r="M7" s="415">
        <f t="shared" ca="1" si="1"/>
        <v>9.5868372786651026</v>
      </c>
      <c r="N7" s="415">
        <f t="shared" ca="1" si="1"/>
        <v>6.7392040803503779</v>
      </c>
      <c r="O7" s="415">
        <f t="shared" ca="1" si="1"/>
        <v>10.845790241278861</v>
      </c>
      <c r="P7" s="184">
        <f t="shared" ca="1" si="1"/>
        <v>5.7443913735199823</v>
      </c>
      <c r="Q7" s="415">
        <f t="shared" ca="1" si="1"/>
        <v>21.686826753157163</v>
      </c>
      <c r="R7" s="415" t="str">
        <f t="shared" ca="1" si="1"/>
        <v>N/A</v>
      </c>
      <c r="S7" s="184" t="str">
        <f t="shared" ca="1" si="1"/>
        <v>N/A</v>
      </c>
      <c r="U7" s="177">
        <f t="shared" ca="1" si="2"/>
        <v>0.03</v>
      </c>
      <c r="V7" s="177">
        <f t="shared" ca="1" si="2"/>
        <v>0.12</v>
      </c>
      <c r="W7" s="177">
        <f t="shared" ca="1" si="2"/>
        <v>0.35</v>
      </c>
      <c r="X7" s="278">
        <f t="shared" ca="1" si="2"/>
        <v>15</v>
      </c>
      <c r="Y7" s="177">
        <f t="shared" ca="1" si="2"/>
        <v>0.2</v>
      </c>
      <c r="Z7" s="177">
        <f t="shared" ca="1" si="2"/>
        <v>0.82799999999999996</v>
      </c>
      <c r="AA7" s="177">
        <f t="shared" ca="1" si="2"/>
        <v>0.8</v>
      </c>
      <c r="AB7" s="177">
        <f t="shared" ca="1" si="2"/>
        <v>0.3</v>
      </c>
      <c r="AC7" s="177">
        <f t="shared" ca="1" si="2"/>
        <v>0.7</v>
      </c>
      <c r="AD7" s="413">
        <f t="shared" ca="1" si="2"/>
        <v>3</v>
      </c>
      <c r="AE7" s="413">
        <f t="shared" ca="1" si="2"/>
        <v>1.5</v>
      </c>
      <c r="AF7" s="413">
        <f t="shared" ca="1" si="2"/>
        <v>7</v>
      </c>
      <c r="AG7" s="663">
        <f t="shared" ca="1" si="2"/>
        <v>1.7608179999999999E-3</v>
      </c>
      <c r="AH7" s="278">
        <f t="shared" ca="1" si="3"/>
        <v>25</v>
      </c>
      <c r="AI7" s="177">
        <f t="shared" ca="1" si="3"/>
        <v>0.25</v>
      </c>
      <c r="AJ7" s="177">
        <f t="shared" ca="1" si="3"/>
        <v>0.24959999999999999</v>
      </c>
      <c r="AK7" s="177">
        <f t="shared" ca="1" si="3"/>
        <v>0.19389999999999999</v>
      </c>
      <c r="AL7" s="177">
        <f t="shared" ca="1" si="3"/>
        <v>1</v>
      </c>
      <c r="AM7" s="177">
        <f t="shared" ca="1" si="3"/>
        <v>1</v>
      </c>
      <c r="AN7" s="177">
        <f t="shared" ca="1" si="3"/>
        <v>0.77</v>
      </c>
      <c r="AO7" s="177">
        <f t="shared" ca="1" si="3"/>
        <v>0.77</v>
      </c>
      <c r="AP7" s="177">
        <f t="shared" ca="1" si="3"/>
        <v>1</v>
      </c>
      <c r="AQ7" s="177">
        <f t="shared" ca="1" si="3"/>
        <v>0.9</v>
      </c>
      <c r="AR7" s="180">
        <f t="shared" ca="1" si="3"/>
        <v>0.7</v>
      </c>
      <c r="AS7" s="180">
        <f t="shared" ca="1" si="3"/>
        <v>0.7</v>
      </c>
      <c r="AT7" s="177">
        <f t="shared" ca="1" si="3"/>
        <v>0.85</v>
      </c>
      <c r="AU7" s="661">
        <f t="shared" ca="1" si="3"/>
        <v>30</v>
      </c>
      <c r="AV7" s="177">
        <f t="shared" ca="1" si="3"/>
        <v>1.5</v>
      </c>
      <c r="AX7" s="181">
        <f t="shared" ca="1" si="4"/>
        <v>1.0483199999999998E-2</v>
      </c>
      <c r="AY7" s="181">
        <f t="shared" ca="1" si="4"/>
        <v>8.1437999999999979E-3</v>
      </c>
      <c r="AZ7" s="181">
        <f t="shared" ca="1" si="4"/>
        <v>4.1999999999999996E-2</v>
      </c>
      <c r="BA7" s="181" t="str">
        <f t="shared" ca="1" si="4"/>
        <v>-</v>
      </c>
      <c r="BB7" s="181" t="str">
        <f t="shared" ca="1" si="4"/>
        <v>-</v>
      </c>
    </row>
    <row r="8" spans="2:55" x14ac:dyDescent="0.25">
      <c r="B8" s="275" t="s">
        <v>438</v>
      </c>
      <c r="C8" s="416">
        <f t="shared" ca="1" si="0"/>
        <v>2.3219516744891196E-2</v>
      </c>
      <c r="D8" s="416">
        <f t="shared" ca="1" si="0"/>
        <v>1.4831913496643727E-2</v>
      </c>
      <c r="E8" s="416" t="str">
        <f t="shared" ca="1" si="0"/>
        <v>-</v>
      </c>
      <c r="F8" s="416">
        <f t="shared" ca="1" si="0"/>
        <v>5.3652353831445416E-3</v>
      </c>
      <c r="G8" s="340">
        <f t="shared" ca="1" si="0"/>
        <v>1.5340403769761422</v>
      </c>
      <c r="H8" s="414">
        <f t="shared" ca="1" si="0"/>
        <v>3460.5326115592329</v>
      </c>
      <c r="I8" s="414">
        <f t="shared" ca="1" si="0"/>
        <v>646.00827677864265</v>
      </c>
      <c r="J8" s="414">
        <f t="shared" ca="1" si="0"/>
        <v>1011.332759147652</v>
      </c>
      <c r="K8" s="414">
        <f t="shared" ca="1" si="0"/>
        <v>1582.7847099858895</v>
      </c>
      <c r="L8" s="414" t="str">
        <f t="shared" ca="1" si="0"/>
        <v>-</v>
      </c>
      <c r="M8" s="415">
        <f t="shared" ca="1" si="1"/>
        <v>4.3277722386305326</v>
      </c>
      <c r="N8" s="415">
        <f t="shared" ca="1" si="1"/>
        <v>2.7644478643452928</v>
      </c>
      <c r="O8" s="415">
        <f t="shared" ca="1" si="1"/>
        <v>1.7663657404127207</v>
      </c>
      <c r="P8" s="184" t="str">
        <f t="shared" ca="1" si="1"/>
        <v>-</v>
      </c>
      <c r="Q8" s="415">
        <f t="shared" ca="1" si="1"/>
        <v>33.186349699132066</v>
      </c>
      <c r="R8" s="415">
        <f t="shared" ca="1" si="1"/>
        <v>4.1607751257515488</v>
      </c>
      <c r="S8" s="184" t="str">
        <f t="shared" ca="1" si="1"/>
        <v>N/A</v>
      </c>
      <c r="U8" s="177">
        <f t="shared" ca="1" si="2"/>
        <v>0.03</v>
      </c>
      <c r="V8" s="177">
        <f t="shared" ca="1" si="2"/>
        <v>0.19</v>
      </c>
      <c r="W8" s="177">
        <f t="shared" ca="1" si="2"/>
        <v>0.5</v>
      </c>
      <c r="X8" s="278">
        <f t="shared" ca="1" si="2"/>
        <v>20</v>
      </c>
      <c r="Y8" s="177">
        <f t="shared" ca="1" si="2"/>
        <v>0.25</v>
      </c>
      <c r="Z8" s="177">
        <f t="shared" ca="1" si="2"/>
        <v>0.82799999999999996</v>
      </c>
      <c r="AA8" s="177">
        <f t="shared" ca="1" si="2"/>
        <v>0.71153846153846145</v>
      </c>
      <c r="AB8" s="177">
        <f t="shared" ca="1" si="2"/>
        <v>0.23</v>
      </c>
      <c r="AC8" s="177">
        <f t="shared" ca="1" si="2"/>
        <v>0.8</v>
      </c>
      <c r="AD8" s="413">
        <f t="shared" ca="1" si="2"/>
        <v>3</v>
      </c>
      <c r="AE8" s="413">
        <f t="shared" ca="1" si="2"/>
        <v>1.4</v>
      </c>
      <c r="AF8" s="413">
        <f t="shared" ca="1" si="2"/>
        <v>5</v>
      </c>
      <c r="AG8" s="663">
        <f t="shared" ca="1" si="2"/>
        <v>1.7608179999999999E-3</v>
      </c>
      <c r="AH8" s="278">
        <f t="shared" ca="1" si="3"/>
        <v>25</v>
      </c>
      <c r="AI8" s="177">
        <f t="shared" ca="1" si="3"/>
        <v>0.16600000000000001</v>
      </c>
      <c r="AJ8" s="177">
        <f t="shared" ca="1" si="3"/>
        <v>0.24959999999999999</v>
      </c>
      <c r="AK8" s="177">
        <f t="shared" ca="1" si="3"/>
        <v>0.19389999999999999</v>
      </c>
      <c r="AL8" s="177">
        <f t="shared" ca="1" si="3"/>
        <v>1.17</v>
      </c>
      <c r="AM8" s="177">
        <f t="shared" ca="1" si="3"/>
        <v>1</v>
      </c>
      <c r="AN8" s="177">
        <f t="shared" ca="1" si="3"/>
        <v>0.77</v>
      </c>
      <c r="AO8" s="177">
        <f t="shared" ca="1" si="3"/>
        <v>0.77</v>
      </c>
      <c r="AP8" s="177">
        <f t="shared" ca="1" si="3"/>
        <v>1</v>
      </c>
      <c r="AQ8" s="177">
        <f t="shared" ca="1" si="3"/>
        <v>0.9</v>
      </c>
      <c r="AR8" s="180">
        <f t="shared" ca="1" si="3"/>
        <v>0.56000000000000005</v>
      </c>
      <c r="AS8" s="180">
        <f t="shared" ca="1" si="3"/>
        <v>0.5292</v>
      </c>
      <c r="AT8" s="177">
        <f t="shared" ca="1" si="3"/>
        <v>0.85</v>
      </c>
      <c r="AU8" s="661">
        <f t="shared" ca="1" si="3"/>
        <v>5</v>
      </c>
      <c r="AV8" s="177">
        <f t="shared" ca="1" si="3"/>
        <v>2</v>
      </c>
      <c r="AX8" s="181">
        <f t="shared" ca="1" si="4"/>
        <v>5.4246143999999996E-3</v>
      </c>
      <c r="AY8" s="181">
        <f t="shared" ca="1" si="4"/>
        <v>4.2140734461538461E-3</v>
      </c>
      <c r="AZ8" s="181">
        <f t="shared" ca="1" si="4"/>
        <v>2.1733230769230769E-2</v>
      </c>
      <c r="BA8" s="181" t="str">
        <f t="shared" ca="1" si="4"/>
        <v>-</v>
      </c>
      <c r="BB8" s="181" t="str">
        <f t="shared" ca="1" si="4"/>
        <v>-</v>
      </c>
    </row>
    <row r="9" spans="2:55" s="231" customFormat="1" x14ac:dyDescent="0.25">
      <c r="B9" s="275" t="s">
        <v>445</v>
      </c>
      <c r="C9" s="416">
        <f t="shared" ca="1" si="0"/>
        <v>3.41236187988255E-2</v>
      </c>
      <c r="D9" s="416">
        <f t="shared" ca="1" si="0"/>
        <v>1.2841435573374726E-2</v>
      </c>
      <c r="E9" s="416" t="str">
        <f t="shared" ca="1" si="0"/>
        <v>-</v>
      </c>
      <c r="F9" s="416">
        <f t="shared" ca="1" si="0"/>
        <v>4.3378464478404559E-3</v>
      </c>
      <c r="G9" s="340">
        <f t="shared" ca="1" si="0"/>
        <v>1.2402869818191757</v>
      </c>
      <c r="H9" s="414">
        <f t="shared" ca="1" si="0"/>
        <v>3460.5326115592329</v>
      </c>
      <c r="I9" s="414">
        <f t="shared" ca="1" si="0"/>
        <v>2490.9433111744179</v>
      </c>
      <c r="J9" s="414">
        <f t="shared" ca="1" si="0"/>
        <v>6619.1976367687384</v>
      </c>
      <c r="K9" s="414">
        <f t="shared" ca="1" si="0"/>
        <v>1989.347855345736</v>
      </c>
      <c r="L9" s="414" t="str">
        <f t="shared" ca="1" si="0"/>
        <v>-</v>
      </c>
      <c r="M9" s="415">
        <f t="shared" ca="1" si="1"/>
        <v>7.8664884082776902</v>
      </c>
      <c r="N9" s="415">
        <f t="shared" ca="1" si="1"/>
        <v>2.9603250663166465</v>
      </c>
      <c r="O9" s="415">
        <f t="shared" ca="1" si="1"/>
        <v>9.849949887032162</v>
      </c>
      <c r="P9" s="184" t="str">
        <f t="shared" ca="1" si="1"/>
        <v>-</v>
      </c>
      <c r="Q9" s="415">
        <f t="shared" ca="1" si="1"/>
        <v>31.155488882826688</v>
      </c>
      <c r="R9" s="415" t="str">
        <f t="shared" ca="1" si="1"/>
        <v>N/A</v>
      </c>
      <c r="S9" s="184" t="str">
        <f t="shared" ca="1" si="1"/>
        <v>N/A</v>
      </c>
      <c r="U9" s="177">
        <f t="shared" ca="1" si="2"/>
        <v>0.03</v>
      </c>
      <c r="V9" s="177">
        <f t="shared" ca="1" si="2"/>
        <v>0.19</v>
      </c>
      <c r="W9" s="177">
        <f t="shared" ca="1" si="2"/>
        <v>0.5</v>
      </c>
      <c r="X9" s="278">
        <f t="shared" ca="1" si="2"/>
        <v>15</v>
      </c>
      <c r="Y9" s="177">
        <f t="shared" ca="1" si="2"/>
        <v>0.1</v>
      </c>
      <c r="Z9" s="177">
        <f t="shared" ca="1" si="2"/>
        <v>0.8</v>
      </c>
      <c r="AA9" s="177">
        <f t="shared" ca="1" si="2"/>
        <v>0.71153846153846145</v>
      </c>
      <c r="AB9" s="177">
        <f t="shared" ca="1" si="2"/>
        <v>0.6</v>
      </c>
      <c r="AC9" s="177">
        <f t="shared" ca="1" si="2"/>
        <v>0.6</v>
      </c>
      <c r="AD9" s="413">
        <f t="shared" ca="1" si="2"/>
        <v>5</v>
      </c>
      <c r="AE9" s="413">
        <f t="shared" ca="1" si="2"/>
        <v>1.4</v>
      </c>
      <c r="AF9" s="413">
        <f t="shared" ca="1" si="2"/>
        <v>8</v>
      </c>
      <c r="AG9" s="663">
        <f t="shared" ca="1" si="2"/>
        <v>1.7608179999999999E-3</v>
      </c>
      <c r="AH9" s="278">
        <f t="shared" ca="1" si="3"/>
        <v>20</v>
      </c>
      <c r="AI9" s="177">
        <f t="shared" ca="1" si="3"/>
        <v>0.2</v>
      </c>
      <c r="AJ9" s="177">
        <f t="shared" ca="1" si="3"/>
        <v>0.25840000000000002</v>
      </c>
      <c r="AK9" s="177">
        <f t="shared" ca="1" si="3"/>
        <v>0.12139999999999999</v>
      </c>
      <c r="AL9" s="177">
        <f t="shared" ca="1" si="3"/>
        <v>1</v>
      </c>
      <c r="AM9" s="177">
        <f t="shared" ca="1" si="3"/>
        <v>1</v>
      </c>
      <c r="AN9" s="177">
        <f t="shared" ca="1" si="3"/>
        <v>1</v>
      </c>
      <c r="AO9" s="177">
        <f t="shared" ca="1" si="3"/>
        <v>1</v>
      </c>
      <c r="AP9" s="177">
        <f t="shared" ca="1" si="3"/>
        <v>1</v>
      </c>
      <c r="AQ9" s="177">
        <f t="shared" ca="1" si="3"/>
        <v>0.9</v>
      </c>
      <c r="AR9" s="180">
        <f t="shared" ca="1" si="3"/>
        <v>0.8</v>
      </c>
      <c r="AS9" s="180">
        <f t="shared" ca="1" si="3"/>
        <v>0.90720000000000001</v>
      </c>
      <c r="AT9" s="177">
        <f t="shared" ca="1" si="3"/>
        <v>0.86</v>
      </c>
      <c r="AU9" s="661">
        <f t="shared" ca="1" si="3"/>
        <v>17</v>
      </c>
      <c r="AV9" s="177">
        <f t="shared" ca="1" si="3"/>
        <v>1</v>
      </c>
      <c r="AX9" s="181">
        <f t="shared" ca="1" si="4"/>
        <v>1.3238030769230769E-2</v>
      </c>
      <c r="AY9" s="181">
        <f t="shared" ca="1" si="4"/>
        <v>6.2194153846153837E-3</v>
      </c>
      <c r="AZ9" s="181">
        <f t="shared" ca="1" si="4"/>
        <v>5.1230769230769226E-2</v>
      </c>
      <c r="BA9" s="181" t="str">
        <f t="shared" ca="1" si="4"/>
        <v>-</v>
      </c>
      <c r="BB9" s="181" t="str">
        <f t="shared" ca="1" si="4"/>
        <v>-</v>
      </c>
    </row>
    <row r="10" spans="2:55" x14ac:dyDescent="0.25">
      <c r="B10" s="275" t="s">
        <v>436</v>
      </c>
      <c r="C10" s="416">
        <f t="shared" ca="1" si="0"/>
        <v>3.6747312339889426E-2</v>
      </c>
      <c r="D10" s="416">
        <f t="shared" ca="1" si="0"/>
        <v>2.1363366760372093E-2</v>
      </c>
      <c r="E10" s="416">
        <f t="shared" ca="1" si="0"/>
        <v>8.9005357794831957E-2</v>
      </c>
      <c r="F10" s="416">
        <f t="shared" ca="1" si="0"/>
        <v>3.1286605759320734E-3</v>
      </c>
      <c r="G10" s="340">
        <f t="shared" ca="1" si="0"/>
        <v>0.89455379057764106</v>
      </c>
      <c r="H10" s="414">
        <f t="shared" ca="1" si="0"/>
        <v>3460.5326115592329</v>
      </c>
      <c r="I10" s="414">
        <f t="shared" ca="1" si="0"/>
        <v>2981.8507265647208</v>
      </c>
      <c r="J10" s="414">
        <f t="shared" ca="1" si="0"/>
        <v>5129.1072811264839</v>
      </c>
      <c r="K10" s="414">
        <f t="shared" ca="1" si="0"/>
        <v>2812.2022187875991</v>
      </c>
      <c r="L10" s="414" t="str">
        <f t="shared" ca="1" si="0"/>
        <v>-</v>
      </c>
      <c r="M10" s="415">
        <f t="shared" ca="1" si="1"/>
        <v>11.745381593189242</v>
      </c>
      <c r="N10" s="415">
        <f t="shared" ca="1" si="1"/>
        <v>6.8282788247196278</v>
      </c>
      <c r="O10" s="415">
        <f t="shared" ca="1" si="1"/>
        <v>12.453931798876967</v>
      </c>
      <c r="P10" s="184">
        <f t="shared" ca="1" si="1"/>
        <v>28.448390496407868</v>
      </c>
      <c r="Q10" s="415">
        <f t="shared" ca="1" si="1"/>
        <v>32.741722165042376</v>
      </c>
      <c r="R10" s="415" t="str">
        <f t="shared" ca="1" si="1"/>
        <v>N/A</v>
      </c>
      <c r="S10" s="184">
        <f t="shared" ca="1" si="1"/>
        <v>213.58239267821574</v>
      </c>
      <c r="U10" s="177">
        <f t="shared" ca="1" si="2"/>
        <v>0.05</v>
      </c>
      <c r="V10" s="177">
        <f t="shared" ca="1" si="2"/>
        <v>0.1</v>
      </c>
      <c r="W10" s="177">
        <f t="shared" ca="1" si="2"/>
        <v>0.5</v>
      </c>
      <c r="X10" s="278">
        <f t="shared" ca="1" si="2"/>
        <v>20</v>
      </c>
      <c r="Y10" s="177">
        <f t="shared" ca="1" si="2"/>
        <v>0.25</v>
      </c>
      <c r="Z10" s="177">
        <f t="shared" ca="1" si="2"/>
        <v>0.82799999999999996</v>
      </c>
      <c r="AA10" s="177">
        <f t="shared" ca="1" si="2"/>
        <v>1</v>
      </c>
      <c r="AB10" s="177">
        <f t="shared" ca="1" si="2"/>
        <v>0.23</v>
      </c>
      <c r="AC10" s="177">
        <f t="shared" ca="1" si="2"/>
        <v>0.8</v>
      </c>
      <c r="AD10" s="413">
        <f t="shared" ca="1" si="2"/>
        <v>3</v>
      </c>
      <c r="AE10" s="413">
        <f t="shared" ca="1" si="2"/>
        <v>1.4</v>
      </c>
      <c r="AF10" s="413">
        <f t="shared" ca="1" si="2"/>
        <v>8</v>
      </c>
      <c r="AG10" s="663">
        <f t="shared" ca="1" si="2"/>
        <v>1.7608179999999999E-3</v>
      </c>
      <c r="AH10" s="278">
        <f t="shared" ca="1" si="3"/>
        <v>40</v>
      </c>
      <c r="AI10" s="177">
        <f t="shared" ca="1" si="3"/>
        <v>0.3</v>
      </c>
      <c r="AJ10" s="177">
        <f t="shared" ca="1" si="3"/>
        <v>0.24959999999999999</v>
      </c>
      <c r="AK10" s="177">
        <f t="shared" ca="1" si="3"/>
        <v>0.19389999999999999</v>
      </c>
      <c r="AL10" s="177">
        <f t="shared" ca="1" si="3"/>
        <v>1.35</v>
      </c>
      <c r="AM10" s="177">
        <f t="shared" ca="1" si="3"/>
        <v>1</v>
      </c>
      <c r="AN10" s="177">
        <f t="shared" ca="1" si="3"/>
        <v>0.77</v>
      </c>
      <c r="AO10" s="177">
        <f t="shared" ca="1" si="3"/>
        <v>1</v>
      </c>
      <c r="AP10" s="177">
        <f t="shared" ca="1" si="3"/>
        <v>1</v>
      </c>
      <c r="AQ10" s="177">
        <f t="shared" ca="1" si="3"/>
        <v>0.9</v>
      </c>
      <c r="AR10" s="180">
        <f t="shared" ca="1" si="3"/>
        <v>0.78</v>
      </c>
      <c r="AS10" s="180">
        <f t="shared" ca="1" si="3"/>
        <v>0.90720000000000001</v>
      </c>
      <c r="AT10" s="177">
        <f t="shared" ca="1" si="3"/>
        <v>0.86</v>
      </c>
      <c r="AU10" s="661">
        <f t="shared" ca="1" si="3"/>
        <v>36.525000000000006</v>
      </c>
      <c r="AV10" s="177">
        <f t="shared" ca="1" si="3"/>
        <v>2</v>
      </c>
      <c r="AX10" s="181">
        <f t="shared" ca="1" si="4"/>
        <v>1.3777920000000001E-2</v>
      </c>
      <c r="AY10" s="181">
        <f t="shared" ca="1" si="4"/>
        <v>1.0703280000000001E-2</v>
      </c>
      <c r="AZ10" s="181">
        <f t="shared" ca="1" si="4"/>
        <v>5.5200000000000006E-2</v>
      </c>
      <c r="BA10" s="181" t="str">
        <f t="shared" ca="1" si="4"/>
        <v>-</v>
      </c>
      <c r="BB10" s="181" t="str">
        <f t="shared" ca="1" si="4"/>
        <v>-</v>
      </c>
    </row>
    <row r="11" spans="2:55" s="54" customFormat="1" x14ac:dyDescent="0.25">
      <c r="B11" s="275" t="s">
        <v>443</v>
      </c>
      <c r="C11" s="416">
        <f t="shared" ca="1" si="0"/>
        <v>6.9032776676522828E-2</v>
      </c>
      <c r="D11" s="416">
        <f t="shared" ca="1" si="0"/>
        <v>5.1304615403264482E-2</v>
      </c>
      <c r="E11" s="416">
        <f t="shared" ca="1" si="0"/>
        <v>6.9631609479930121E-2</v>
      </c>
      <c r="F11" s="416">
        <f t="shared" ca="1" si="0"/>
        <v>3.0224038657738249E-3</v>
      </c>
      <c r="G11" s="340">
        <f t="shared" ca="1" si="0"/>
        <v>0.86417262888257496</v>
      </c>
      <c r="H11" s="414">
        <f t="shared" ca="1" si="0"/>
        <v>3979.6125032931177</v>
      </c>
      <c r="I11" s="414">
        <f t="shared" ca="1" si="0"/>
        <v>1738.3046978148059</v>
      </c>
      <c r="J11" s="414">
        <f t="shared" ca="1" si="0"/>
        <v>2338.9708519745473</v>
      </c>
      <c r="K11" s="414">
        <f t="shared" ca="1" si="0"/>
        <v>3888.9752288186296</v>
      </c>
      <c r="L11" s="414" t="str">
        <f t="shared" ca="1" si="0"/>
        <v>-</v>
      </c>
      <c r="M11" s="415">
        <f t="shared" ca="1" si="1"/>
        <v>22.840354811036608</v>
      </c>
      <c r="N11" s="415">
        <f t="shared" ca="1" si="1"/>
        <v>16.974771632688135</v>
      </c>
      <c r="O11" s="415">
        <f t="shared" ca="1" si="1"/>
        <v>10.20924375490117</v>
      </c>
      <c r="P11" s="184">
        <f t="shared" ca="1" si="1"/>
        <v>23.038486109831112</v>
      </c>
      <c r="Q11" s="415">
        <f t="shared" ca="1" si="1"/>
        <v>143.53672026231871</v>
      </c>
      <c r="R11" s="415">
        <f t="shared" ca="1" si="1"/>
        <v>72.985507998863</v>
      </c>
      <c r="S11" s="184">
        <f t="shared" ca="1" si="1"/>
        <v>145.91984277414045</v>
      </c>
      <c r="U11" s="177">
        <f t="shared" ca="1" si="2"/>
        <v>3.5000000000000003E-2</v>
      </c>
      <c r="V11" s="177">
        <f t="shared" ca="1" si="2"/>
        <v>0.08</v>
      </c>
      <c r="W11" s="177">
        <f t="shared" ca="1" si="2"/>
        <v>0.5</v>
      </c>
      <c r="X11" s="278">
        <f t="shared" ca="1" si="2"/>
        <v>20</v>
      </c>
      <c r="Y11" s="177">
        <f t="shared" ca="1" si="2"/>
        <v>0.25</v>
      </c>
      <c r="Z11" s="177">
        <f t="shared" ca="1" si="2"/>
        <v>0.82799999999999996</v>
      </c>
      <c r="AA11" s="177">
        <f t="shared" ca="1" si="2"/>
        <v>0.9</v>
      </c>
      <c r="AB11" s="177">
        <f t="shared" ca="1" si="2"/>
        <v>0.25</v>
      </c>
      <c r="AC11" s="177">
        <f t="shared" ca="1" si="2"/>
        <v>0.8</v>
      </c>
      <c r="AD11" s="413">
        <f t="shared" ca="1" si="2"/>
        <v>3</v>
      </c>
      <c r="AE11" s="413">
        <f t="shared" ca="1" si="2"/>
        <v>1.5</v>
      </c>
      <c r="AF11" s="413">
        <f t="shared" ca="1" si="2"/>
        <v>5</v>
      </c>
      <c r="AG11" s="663">
        <f t="shared" ca="1" si="2"/>
        <v>1.7608179999999999E-3</v>
      </c>
      <c r="AH11" s="278">
        <f t="shared" ca="1" si="3"/>
        <v>30</v>
      </c>
      <c r="AI11" s="177">
        <f t="shared" ca="1" si="3"/>
        <v>0.3</v>
      </c>
      <c r="AJ11" s="177">
        <f t="shared" ca="1" si="3"/>
        <v>0.31</v>
      </c>
      <c r="AK11" s="177">
        <f t="shared" ca="1" si="3"/>
        <v>0.45</v>
      </c>
      <c r="AL11" s="177">
        <f t="shared" ca="1" si="3"/>
        <v>1</v>
      </c>
      <c r="AM11" s="177">
        <f t="shared" ca="1" si="3"/>
        <v>1</v>
      </c>
      <c r="AN11" s="177">
        <f t="shared" ca="1" si="3"/>
        <v>1</v>
      </c>
      <c r="AO11" s="177">
        <f t="shared" ca="1" si="3"/>
        <v>1</v>
      </c>
      <c r="AP11" s="177">
        <f t="shared" ca="1" si="3"/>
        <v>1</v>
      </c>
      <c r="AQ11" s="177">
        <f t="shared" ca="1" si="3"/>
        <v>0.9</v>
      </c>
      <c r="AR11" s="180">
        <f t="shared" ca="1" si="3"/>
        <v>0.68</v>
      </c>
      <c r="AS11" s="180">
        <f t="shared" ca="1" si="3"/>
        <v>1.2</v>
      </c>
      <c r="AT11" s="177">
        <f t="shared" ca="1" si="3"/>
        <v>0.75</v>
      </c>
      <c r="AU11" s="661">
        <f t="shared" ca="1" si="3"/>
        <v>40</v>
      </c>
      <c r="AV11" s="177">
        <f t="shared" ca="1" si="3"/>
        <v>3</v>
      </c>
      <c r="AX11" s="181">
        <f t="shared" ca="1" si="4"/>
        <v>1.6740000000000001E-2</v>
      </c>
      <c r="AY11" s="181">
        <f t="shared" ca="1" si="4"/>
        <v>2.4300000000000002E-2</v>
      </c>
      <c r="AZ11" s="181">
        <f t="shared" ca="1" si="4"/>
        <v>5.4000000000000006E-2</v>
      </c>
      <c r="BA11" s="181" t="str">
        <f t="shared" ca="1" si="4"/>
        <v>-</v>
      </c>
      <c r="BB11" s="181" t="str">
        <f t="shared" ca="1" si="4"/>
        <v>-</v>
      </c>
    </row>
    <row r="12" spans="2:55" x14ac:dyDescent="0.25">
      <c r="B12" s="275" t="s">
        <v>444</v>
      </c>
      <c r="C12" s="416">
        <f t="shared" ca="1" si="0"/>
        <v>1.0052804847432208E-2</v>
      </c>
      <c r="D12" s="416">
        <f t="shared" ca="1" si="0"/>
        <v>6.1344797043600737E-3</v>
      </c>
      <c r="E12" s="416" t="str">
        <f t="shared" ca="1" si="0"/>
        <v>-</v>
      </c>
      <c r="F12" s="416">
        <f t="shared" ca="1" si="0"/>
        <v>3.1286605759320734E-3</v>
      </c>
      <c r="G12" s="340">
        <f t="shared" ca="1" si="0"/>
        <v>0.89455379057764106</v>
      </c>
      <c r="H12" s="414">
        <f t="shared" ca="1" si="0"/>
        <v>3460.5326115592329</v>
      </c>
      <c r="I12" s="414">
        <f t="shared" ca="1" si="0"/>
        <v>10899.943017195723</v>
      </c>
      <c r="J12" s="414">
        <f t="shared" ca="1" si="0"/>
        <v>17862.150545892218</v>
      </c>
      <c r="K12" s="414">
        <f t="shared" ca="1" si="0"/>
        <v>3538.3293920344172</v>
      </c>
      <c r="L12" s="414" t="str">
        <f t="shared" ca="1" si="0"/>
        <v>-</v>
      </c>
      <c r="M12" s="415">
        <f t="shared" ca="1" si="1"/>
        <v>3.2131337367708324</v>
      </c>
      <c r="N12" s="415">
        <f t="shared" ca="1" si="1"/>
        <v>1.9607367291776363</v>
      </c>
      <c r="O12" s="415">
        <f t="shared" ca="1" si="1"/>
        <v>9.8981668344038027</v>
      </c>
      <c r="P12" s="184" t="str">
        <f t="shared" ca="1" si="1"/>
        <v>-</v>
      </c>
      <c r="Q12" s="415">
        <f t="shared" ca="1" si="1"/>
        <v>4.7152939798030715</v>
      </c>
      <c r="R12" s="415" t="str">
        <f t="shared" ca="1" si="1"/>
        <v>N/A</v>
      </c>
      <c r="S12" s="184" t="str">
        <f t="shared" ca="1" si="1"/>
        <v>N/A</v>
      </c>
      <c r="U12" s="177">
        <f t="shared" ca="1" si="2"/>
        <v>0.05</v>
      </c>
      <c r="V12" s="177">
        <f t="shared" ca="1" si="2"/>
        <v>0.1</v>
      </c>
      <c r="W12" s="177">
        <f t="shared" ca="1" si="2"/>
        <v>0.5</v>
      </c>
      <c r="X12" s="278">
        <f t="shared" ca="1" si="2"/>
        <v>20</v>
      </c>
      <c r="Y12" s="177">
        <f t="shared" ca="1" si="2"/>
        <v>0.25</v>
      </c>
      <c r="Z12" s="177">
        <f t="shared" ca="1" si="2"/>
        <v>0.82799999999999996</v>
      </c>
      <c r="AA12" s="177">
        <f t="shared" ca="1" si="2"/>
        <v>0.56060606060606055</v>
      </c>
      <c r="AB12" s="177">
        <f t="shared" ca="1" si="2"/>
        <v>0.23</v>
      </c>
      <c r="AC12" s="177">
        <f t="shared" ca="1" si="2"/>
        <v>1</v>
      </c>
      <c r="AD12" s="413">
        <f t="shared" ca="1" si="2"/>
        <v>3</v>
      </c>
      <c r="AE12" s="413">
        <f t="shared" ca="1" si="2"/>
        <v>1.4</v>
      </c>
      <c r="AF12" s="413">
        <f t="shared" ca="1" si="2"/>
        <v>8</v>
      </c>
      <c r="AG12" s="663">
        <f t="shared" ca="1" si="2"/>
        <v>1.7608179999999999E-3</v>
      </c>
      <c r="AH12" s="278">
        <f t="shared" ca="1" si="3"/>
        <v>25</v>
      </c>
      <c r="AI12" s="177">
        <f t="shared" ca="1" si="3"/>
        <v>0.16600000000000001</v>
      </c>
      <c r="AJ12" s="177">
        <f t="shared" ca="1" si="3"/>
        <v>0.24959999999999999</v>
      </c>
      <c r="AK12" s="177">
        <f t="shared" ca="1" si="3"/>
        <v>0.19389999999999999</v>
      </c>
      <c r="AL12" s="177">
        <f t="shared" ca="1" si="3"/>
        <v>1</v>
      </c>
      <c r="AM12" s="177">
        <f t="shared" ca="1" si="3"/>
        <v>1</v>
      </c>
      <c r="AN12" s="177">
        <f t="shared" ca="1" si="3"/>
        <v>0.81</v>
      </c>
      <c r="AO12" s="177">
        <f t="shared" ca="1" si="3"/>
        <v>0.81</v>
      </c>
      <c r="AP12" s="177">
        <f t="shared" ca="1" si="3"/>
        <v>1</v>
      </c>
      <c r="AQ12" s="177">
        <f t="shared" ca="1" si="3"/>
        <v>0.9</v>
      </c>
      <c r="AR12" s="180">
        <f t="shared" ca="1" si="3"/>
        <v>0.78</v>
      </c>
      <c r="AS12" s="180">
        <f t="shared" ca="1" si="3"/>
        <v>0.90720000000000001</v>
      </c>
      <c r="AT12" s="177">
        <f t="shared" ca="1" si="3"/>
        <v>0.86</v>
      </c>
      <c r="AU12" s="661">
        <f t="shared" ca="1" si="3"/>
        <v>36.525000000000006</v>
      </c>
      <c r="AV12" s="177">
        <f t="shared" ca="1" si="3"/>
        <v>2</v>
      </c>
      <c r="AW12" s="54"/>
      <c r="AX12" s="181">
        <f t="shared" ca="1" si="4"/>
        <v>5.3424232727272728E-3</v>
      </c>
      <c r="AY12" s="181">
        <f t="shared" ca="1" si="4"/>
        <v>4.1502238484848481E-3</v>
      </c>
      <c r="AZ12" s="181">
        <f t="shared" ca="1" si="4"/>
        <v>2.1403939393939395E-2</v>
      </c>
      <c r="BA12" s="181" t="str">
        <f t="shared" ca="1" si="4"/>
        <v>-</v>
      </c>
      <c r="BB12" s="181" t="str">
        <f t="shared" ca="1" si="4"/>
        <v>-</v>
      </c>
    </row>
    <row r="13" spans="2:55" s="231" customFormat="1" x14ac:dyDescent="0.25">
      <c r="B13" s="275" t="s">
        <v>703</v>
      </c>
      <c r="C13" s="416">
        <f t="shared" ca="1" si="0"/>
        <v>1.1292542474912771E-2</v>
      </c>
      <c r="D13" s="416">
        <f t="shared" ca="1" si="0"/>
        <v>4.6884601517788024E-3</v>
      </c>
      <c r="E13" s="416" t="str">
        <f t="shared" ca="1" si="0"/>
        <v>-</v>
      </c>
      <c r="F13" s="416">
        <f t="shared" ca="1" si="0"/>
        <v>3.0543855071108921E-3</v>
      </c>
      <c r="G13" s="340">
        <f t="shared" ca="1" si="0"/>
        <v>0.87331689295105575</v>
      </c>
      <c r="H13" s="414">
        <f t="shared" ca="1" si="0"/>
        <v>3460.5326115592329</v>
      </c>
      <c r="I13" s="414">
        <f t="shared" ca="1" si="0"/>
        <v>1062.6482058100644</v>
      </c>
      <c r="J13" s="414">
        <f t="shared" ca="1" si="0"/>
        <v>2559.4757364946781</v>
      </c>
      <c r="K13" s="414">
        <f t="shared" ca="1" si="0"/>
        <v>950.00900172040031</v>
      </c>
      <c r="L13" s="414" t="str">
        <f t="shared" ca="1" si="0"/>
        <v>-</v>
      </c>
      <c r="M13" s="415">
        <f t="shared" ca="1" si="1"/>
        <v>3.6971569072151134</v>
      </c>
      <c r="N13" s="415">
        <f t="shared" ca="1" si="1"/>
        <v>1.5349929276653629</v>
      </c>
      <c r="O13" s="415">
        <f t="shared" ca="1" si="1"/>
        <v>4.1355157129413342</v>
      </c>
      <c r="P13" s="184" t="str">
        <f t="shared" ca="1" si="1"/>
        <v>-</v>
      </c>
      <c r="Q13" s="415" t="str">
        <f t="shared" ca="1" si="1"/>
        <v>N/A</v>
      </c>
      <c r="R13" s="415" t="str">
        <f t="shared" ca="1" si="1"/>
        <v>N/A</v>
      </c>
      <c r="S13" s="184" t="str">
        <f t="shared" ca="1" si="1"/>
        <v>N/A</v>
      </c>
      <c r="U13" s="177">
        <f t="shared" ca="1" si="2"/>
        <v>0.05</v>
      </c>
      <c r="V13" s="177">
        <f t="shared" ca="1" si="2"/>
        <v>0.1</v>
      </c>
      <c r="W13" s="177">
        <f t="shared" ca="1" si="2"/>
        <v>0.5</v>
      </c>
      <c r="X13" s="278">
        <f t="shared" ca="1" si="2"/>
        <v>20</v>
      </c>
      <c r="Y13" s="177">
        <f t="shared" ca="1" si="2"/>
        <v>0.1</v>
      </c>
      <c r="Z13" s="177">
        <f t="shared" ca="1" si="2"/>
        <v>0.82799999999999996</v>
      </c>
      <c r="AA13" s="177">
        <f t="shared" ca="1" si="2"/>
        <v>0.71153846153846145</v>
      </c>
      <c r="AB13" s="177">
        <f t="shared" ca="1" si="2"/>
        <v>0.6</v>
      </c>
      <c r="AC13" s="177">
        <f t="shared" ca="1" si="2"/>
        <v>0.8</v>
      </c>
      <c r="AD13" s="413">
        <f t="shared" ca="1" si="2"/>
        <v>4</v>
      </c>
      <c r="AE13" s="413">
        <f t="shared" ca="1" si="2"/>
        <v>1</v>
      </c>
      <c r="AF13" s="413">
        <f t="shared" ca="1" si="2"/>
        <v>5</v>
      </c>
      <c r="AG13" s="663">
        <f t="shared" ca="1" si="2"/>
        <v>0</v>
      </c>
      <c r="AH13" s="278">
        <f t="shared" ca="1" si="3"/>
        <v>20</v>
      </c>
      <c r="AI13" s="177">
        <f t="shared" ca="1" si="3"/>
        <v>0.16600000000000001</v>
      </c>
      <c r="AJ13" s="177">
        <f t="shared" ca="1" si="3"/>
        <v>0.1719</v>
      </c>
      <c r="AK13" s="177">
        <f t="shared" ca="1" si="3"/>
        <v>0.12139999999999999</v>
      </c>
      <c r="AL13" s="177">
        <f t="shared" ca="1" si="3"/>
        <v>1</v>
      </c>
      <c r="AM13" s="177">
        <f t="shared" ca="1" si="3"/>
        <v>1</v>
      </c>
      <c r="AN13" s="177">
        <f t="shared" ca="1" si="3"/>
        <v>0.81</v>
      </c>
      <c r="AO13" s="177">
        <f t="shared" ca="1" si="3"/>
        <v>1</v>
      </c>
      <c r="AP13" s="177">
        <f t="shared" ca="1" si="3"/>
        <v>1</v>
      </c>
      <c r="AQ13" s="177">
        <f t="shared" ca="1" si="3"/>
        <v>0.75</v>
      </c>
      <c r="AR13" s="180">
        <f t="shared" ca="1" si="3"/>
        <v>0.8</v>
      </c>
      <c r="AS13" s="180">
        <f t="shared" ca="1" si="3"/>
        <v>1.26</v>
      </c>
      <c r="AT13" s="177">
        <f t="shared" ca="1" si="3"/>
        <v>0.86</v>
      </c>
      <c r="AU13" s="661">
        <f t="shared" ca="1" si="3"/>
        <v>3</v>
      </c>
      <c r="AV13" s="177">
        <f t="shared" ca="1" si="3"/>
        <v>1.5</v>
      </c>
      <c r="AW13" s="275"/>
      <c r="AX13" s="181">
        <f t="shared" ca="1" si="4"/>
        <v>9.745936615384615E-3</v>
      </c>
      <c r="AY13" s="181">
        <f t="shared" ca="1" si="4"/>
        <v>6.8828196923076913E-3</v>
      </c>
      <c r="AZ13" s="181">
        <f t="shared" ca="1" si="4"/>
        <v>5.6695384615384613E-2</v>
      </c>
      <c r="BA13" s="181" t="str">
        <f t="shared" ca="1" si="4"/>
        <v>-</v>
      </c>
      <c r="BB13" s="181" t="str">
        <f t="shared" ca="1" si="4"/>
        <v>-</v>
      </c>
    </row>
    <row r="14" spans="2:55" s="231" customFormat="1" x14ac:dyDescent="0.25">
      <c r="B14" s="275" t="s">
        <v>704</v>
      </c>
      <c r="C14" s="416">
        <f t="shared" ca="1" si="0"/>
        <v>1.0718361771040441E-2</v>
      </c>
      <c r="D14" s="416">
        <f t="shared" ca="1" si="0"/>
        <v>5.9517348048524106E-3</v>
      </c>
      <c r="E14" s="416" t="str">
        <f t="shared" ca="1" si="0"/>
        <v>-</v>
      </c>
      <c r="F14" s="416">
        <f t="shared" ca="1" si="0"/>
        <v>2.8876964519400309E-3</v>
      </c>
      <c r="G14" s="340">
        <f t="shared" ca="1" si="0"/>
        <v>0.82565677689437011</v>
      </c>
      <c r="H14" s="414">
        <f t="shared" ca="1" si="0"/>
        <v>3460.5326115592329</v>
      </c>
      <c r="I14" s="414">
        <f t="shared" ca="1" si="0"/>
        <v>10223.110801881758</v>
      </c>
      <c r="J14" s="414">
        <f t="shared" ca="1" si="0"/>
        <v>18410.598521739281</v>
      </c>
      <c r="K14" s="414">
        <f t="shared" ca="1" si="0"/>
        <v>3080.839382469027</v>
      </c>
      <c r="L14" s="414" t="str">
        <f t="shared" ca="1" si="0"/>
        <v>-</v>
      </c>
      <c r="M14" s="415">
        <f t="shared" ca="1" si="1"/>
        <v>3.7117342315670201</v>
      </c>
      <c r="N14" s="415">
        <f t="shared" ca="1" si="1"/>
        <v>2.0610666335285615</v>
      </c>
      <c r="O14" s="415">
        <f t="shared" ca="1" si="1"/>
        <v>12.316601291313365</v>
      </c>
      <c r="P14" s="184" t="str">
        <f t="shared" ca="1" si="1"/>
        <v>-</v>
      </c>
      <c r="Q14" s="415">
        <f t="shared" ca="1" si="1"/>
        <v>3.550659727289208</v>
      </c>
      <c r="R14" s="415" t="str">
        <f t="shared" ca="1" si="1"/>
        <v>N/A</v>
      </c>
      <c r="S14" s="184" t="str">
        <f t="shared" ca="1" si="1"/>
        <v>N/A</v>
      </c>
      <c r="U14" s="177">
        <f t="shared" ca="1" si="2"/>
        <v>0.05</v>
      </c>
      <c r="V14" s="177">
        <f t="shared" ca="1" si="2"/>
        <v>0.15</v>
      </c>
      <c r="W14" s="177">
        <f t="shared" ca="1" si="2"/>
        <v>0.25</v>
      </c>
      <c r="X14" s="278">
        <f t="shared" ca="1" si="2"/>
        <v>15</v>
      </c>
      <c r="Y14" s="177">
        <f t="shared" ca="1" si="2"/>
        <v>0.15</v>
      </c>
      <c r="Z14" s="177">
        <f t="shared" ca="1" si="2"/>
        <v>0.82799999999999996</v>
      </c>
      <c r="AA14" s="177">
        <f t="shared" ca="1" si="2"/>
        <v>0.54212454212454209</v>
      </c>
      <c r="AB14" s="177">
        <f t="shared" ca="1" si="2"/>
        <v>0.6</v>
      </c>
      <c r="AC14" s="177">
        <f t="shared" ca="1" si="2"/>
        <v>0.5</v>
      </c>
      <c r="AD14" s="413">
        <f t="shared" ca="1" si="2"/>
        <v>3</v>
      </c>
      <c r="AE14" s="413">
        <f t="shared" ca="1" si="2"/>
        <v>1.4</v>
      </c>
      <c r="AF14" s="413">
        <f t="shared" ca="1" si="2"/>
        <v>8</v>
      </c>
      <c r="AG14" s="663">
        <f t="shared" ca="1" si="2"/>
        <v>1.6824299999999999E-3</v>
      </c>
      <c r="AH14" s="278">
        <f t="shared" ca="1" si="3"/>
        <v>20</v>
      </c>
      <c r="AI14" s="177">
        <f t="shared" ca="1" si="3"/>
        <v>0.16600000000000001</v>
      </c>
      <c r="AJ14" s="177">
        <f t="shared" ca="1" si="3"/>
        <v>0.24959999999999999</v>
      </c>
      <c r="AK14" s="177">
        <f t="shared" ca="1" si="3"/>
        <v>0.19389999999999999</v>
      </c>
      <c r="AL14" s="177">
        <f t="shared" ca="1" si="3"/>
        <v>1</v>
      </c>
      <c r="AM14" s="177">
        <f t="shared" ca="1" si="3"/>
        <v>1</v>
      </c>
      <c r="AN14" s="177">
        <f t="shared" ca="1" si="3"/>
        <v>0.81</v>
      </c>
      <c r="AO14" s="177">
        <f t="shared" ca="1" si="3"/>
        <v>1</v>
      </c>
      <c r="AP14" s="177">
        <f t="shared" ca="1" si="3"/>
        <v>1</v>
      </c>
      <c r="AQ14" s="177">
        <f t="shared" ca="1" si="3"/>
        <v>0.9</v>
      </c>
      <c r="AR14" s="180">
        <f t="shared" ca="1" si="3"/>
        <v>0.8</v>
      </c>
      <c r="AS14" s="180">
        <f t="shared" ca="1" si="3"/>
        <v>1.26</v>
      </c>
      <c r="AT14" s="177">
        <f t="shared" ca="1" si="3"/>
        <v>0.86</v>
      </c>
      <c r="AU14" s="661">
        <f t="shared" ca="1" si="3"/>
        <v>36.525000000000006</v>
      </c>
      <c r="AV14" s="177">
        <f t="shared" ca="1" si="3"/>
        <v>1</v>
      </c>
      <c r="AW14" s="275"/>
      <c r="AX14" s="181">
        <f t="shared" ca="1" si="4"/>
        <v>6.7386514285714275E-3</v>
      </c>
      <c r="AY14" s="181">
        <f t="shared" ca="1" si="4"/>
        <v>5.2348738461538459E-3</v>
      </c>
      <c r="AZ14" s="181">
        <f t="shared" ca="1" si="4"/>
        <v>2.6997802197802196E-2</v>
      </c>
      <c r="BA14" s="181" t="str">
        <f t="shared" ca="1" si="4"/>
        <v>-</v>
      </c>
      <c r="BB14" s="181" t="str">
        <f t="shared" ca="1" si="4"/>
        <v>-</v>
      </c>
    </row>
    <row r="15" spans="2:55" x14ac:dyDescent="0.25">
      <c r="Q15" s="469"/>
      <c r="R15" s="469"/>
    </row>
    <row r="16" spans="2:55" s="231" customFormat="1" x14ac:dyDescent="0.25">
      <c r="Q16" s="469"/>
      <c r="R16" s="469"/>
    </row>
    <row r="17" spans="2:54" x14ac:dyDescent="0.25">
      <c r="B17" s="309" t="s">
        <v>448</v>
      </c>
      <c r="C17" s="416">
        <f ca="1">MEDIAN(C5:C14)</f>
        <v>2.9474801826198837E-2</v>
      </c>
      <c r="D17" s="416">
        <f t="shared" ref="D17:F17" ca="1" si="5">MEDIAN(D5:D14)</f>
        <v>1.7821969650756546E-2</v>
      </c>
      <c r="E17" s="416">
        <f t="shared" ca="1" si="5"/>
        <v>4.5955805824046625E-2</v>
      </c>
      <c r="F17" s="416">
        <f t="shared" ca="1" si="5"/>
        <v>3.1084314575352576E-3</v>
      </c>
      <c r="G17" s="340">
        <f ca="1">MEDIAN(G5:G14)</f>
        <v>0.88876983475925564</v>
      </c>
      <c r="H17" s="414">
        <f ca="1">MEDIAN(H5:H14)</f>
        <v>3460.5326115592329</v>
      </c>
      <c r="I17" s="414">
        <f t="shared" ref="I17:J17" ca="1" si="6">MEDIAN(I5:I14)</f>
        <v>2393.1684016766885</v>
      </c>
      <c r="J17" s="414">
        <f t="shared" ca="1" si="6"/>
        <v>3987.1881051412329</v>
      </c>
      <c r="K17" s="414">
        <f ca="1">MEDIAN(K5:K14)</f>
        <v>2493.4752852118131</v>
      </c>
      <c r="L17" s="414" t="str">
        <f ca="1">IFERROR(MEDIAN(L5:L14),"-")</f>
        <v>-</v>
      </c>
      <c r="M17" s="415">
        <f ca="1">MEDIAN(M5:M14)</f>
        <v>8.7266628434713969</v>
      </c>
      <c r="N17" s="415">
        <f ca="1">MEDIAN(N5:N14)</f>
        <v>4.8497645733335126</v>
      </c>
      <c r="O17" s="415">
        <f ca="1">MEDIAN(O5:O14)</f>
        <v>10.053705294652486</v>
      </c>
      <c r="P17" s="415">
        <f ca="1">MEDIAN(P5:P14)</f>
        <v>15.159035515421145</v>
      </c>
      <c r="Q17" s="415">
        <f t="shared" ref="Q17:S17" ca="1" si="7">MEDIAN(Q5:Q14)</f>
        <v>31.155488882826688</v>
      </c>
      <c r="R17" s="415">
        <f t="shared" ca="1" si="7"/>
        <v>7.6331611361385576</v>
      </c>
      <c r="S17" s="415">
        <f t="shared" ca="1" si="7"/>
        <v>179.75111772617811</v>
      </c>
      <c r="U17" s="125">
        <f t="shared" ref="U17:AE17" ca="1" si="8">MEDIAN(U5:U14)</f>
        <v>4.2500000000000003E-2</v>
      </c>
      <c r="V17" s="125">
        <f t="shared" ca="1" si="8"/>
        <v>0.11</v>
      </c>
      <c r="W17" s="125">
        <f t="shared" ca="1" si="8"/>
        <v>0.5</v>
      </c>
      <c r="X17" s="185">
        <f t="shared" ca="1" si="8"/>
        <v>20</v>
      </c>
      <c r="Y17" s="125">
        <f t="shared" ca="1" si="8"/>
        <v>0.17499999999999999</v>
      </c>
      <c r="Z17" s="125">
        <f t="shared" ca="1" si="8"/>
        <v>0.82799999999999996</v>
      </c>
      <c r="AA17" s="125">
        <f t="shared" ca="1" si="8"/>
        <v>0.71153846153846145</v>
      </c>
      <c r="AB17" s="125">
        <f t="shared" ca="1" si="8"/>
        <v>0.32499999999999996</v>
      </c>
      <c r="AC17" s="125">
        <f t="shared" ca="1" si="8"/>
        <v>0.77500000000000002</v>
      </c>
      <c r="AD17" s="430">
        <f t="shared" ca="1" si="8"/>
        <v>3</v>
      </c>
      <c r="AE17" s="413">
        <f t="shared" ca="1" si="8"/>
        <v>1.4</v>
      </c>
      <c r="AF17" s="413">
        <f ca="1">MEDIAN(AF5:AF14)</f>
        <v>8</v>
      </c>
      <c r="AG17" s="663">
        <f ca="1">MEDIAN(AG5:AG14)</f>
        <v>1.7608179999999999E-3</v>
      </c>
      <c r="AH17" s="185">
        <f ca="1">MEDIAN(AH5:AH14)</f>
        <v>25</v>
      </c>
      <c r="AI17" s="125">
        <f ca="1">MEDIAN(AI5:AI14)</f>
        <v>0.22500000000000001</v>
      </c>
      <c r="AJ17" s="125">
        <f t="shared" ref="AJ17:AQ17" ca="1" si="9">MEDIAN(AJ5:AJ14)</f>
        <v>0.24959999999999999</v>
      </c>
      <c r="AK17" s="125">
        <f t="shared" ca="1" si="9"/>
        <v>0.19389999999999999</v>
      </c>
      <c r="AL17" s="125">
        <f t="shared" ca="1" si="9"/>
        <v>1</v>
      </c>
      <c r="AM17" s="125">
        <f t="shared" ca="1" si="9"/>
        <v>1</v>
      </c>
      <c r="AN17" s="125">
        <f t="shared" ca="1" si="9"/>
        <v>0.81</v>
      </c>
      <c r="AO17" s="125">
        <f t="shared" ca="1" si="9"/>
        <v>1</v>
      </c>
      <c r="AP17" s="125">
        <f t="shared" ca="1" si="9"/>
        <v>1</v>
      </c>
      <c r="AQ17" s="125">
        <f t="shared" ca="1" si="9"/>
        <v>0.9</v>
      </c>
      <c r="AR17" s="186">
        <f ca="1">MEDIAN(AR5:AR14)</f>
        <v>0.74</v>
      </c>
      <c r="AS17" s="186">
        <f ca="1">MEDIAN(AS5:AS14)</f>
        <v>0.90720000000000001</v>
      </c>
      <c r="AT17" s="125">
        <f ca="1">MEDIAN(AT5:AT14)</f>
        <v>0.86</v>
      </c>
      <c r="AU17" s="662">
        <f ca="1">MEDIAN(AU5:AU14)</f>
        <v>30</v>
      </c>
      <c r="AV17" s="125">
        <f ca="1">MEDIAN(AV5:AV14)</f>
        <v>1.75</v>
      </c>
      <c r="AW17" s="275"/>
      <c r="AX17" s="181">
        <f ca="1">MEDIAN(AX5:AX14)</f>
        <v>1.1860615384615383E-2</v>
      </c>
      <c r="AY17" s="181">
        <f t="shared" ref="AY17:AZ17" ca="1" si="10">MEDIAN(AY5:AY14)</f>
        <v>7.5133098461538442E-3</v>
      </c>
      <c r="AZ17" s="181">
        <f t="shared" ca="1" si="10"/>
        <v>5.2615384615384619E-2</v>
      </c>
      <c r="BA17" s="181" t="str">
        <f ca="1">IFERROR(MEDIAN(BA5:BA12),"-")</f>
        <v>-</v>
      </c>
      <c r="BB17" s="181" t="str">
        <f ca="1">IFERROR(MEDIAN(BB5:BB12),"-")</f>
        <v>-</v>
      </c>
    </row>
    <row r="18" spans="2:54" s="231" customFormat="1" x14ac:dyDescent="0.25">
      <c r="B18" s="275" t="s">
        <v>447</v>
      </c>
      <c r="C18" s="416">
        <f t="shared" ref="C18:L18" ca="1" si="11">IFERROR(INDIRECT("'"&amp;$B18&amp;"'!"&amp;C$4),"-")</f>
        <v>2.1019645056500443E-2</v>
      </c>
      <c r="D18" s="416">
        <f t="shared" ca="1" si="11"/>
        <v>1.4912327012675603E-2</v>
      </c>
      <c r="E18" s="416" t="str">
        <f t="shared" ca="1" si="11"/>
        <v>-</v>
      </c>
      <c r="F18" s="416">
        <f t="shared" ca="1" si="11"/>
        <v>3.4089639151124438E-3</v>
      </c>
      <c r="G18" s="340">
        <f t="shared" ca="1" si="11"/>
        <v>0.97469876267985434</v>
      </c>
      <c r="H18" s="414">
        <f t="shared" ca="1" si="11"/>
        <v>3460.5326115592329</v>
      </c>
      <c r="I18" s="414">
        <f t="shared" ca="1" si="11"/>
        <v>4281.7088375223057</v>
      </c>
      <c r="J18" s="414">
        <f t="shared" ca="1" si="11"/>
        <v>6035.2753747620509</v>
      </c>
      <c r="K18" s="414">
        <f t="shared" ca="1" si="11"/>
        <v>2857.0960762287164</v>
      </c>
      <c r="L18" s="414" t="str">
        <f t="shared" ca="1" si="11"/>
        <v>-</v>
      </c>
      <c r="M18" s="415">
        <f t="shared" ref="M18:S18" ca="1" si="12">IFERROR(INDIRECT("'"&amp;$B18&amp;"'!"&amp;M$4),"-")</f>
        <v>6.1659922427800513</v>
      </c>
      <c r="N18" s="415">
        <f t="shared" ca="1" si="12"/>
        <v>4.3744455453362354</v>
      </c>
      <c r="O18" s="415">
        <f t="shared" ca="1" si="12"/>
        <v>9.2404955148914212</v>
      </c>
      <c r="P18" s="124" t="str">
        <f t="shared" ca="1" si="12"/>
        <v>-</v>
      </c>
      <c r="Q18" s="468">
        <f t="shared" ca="1" si="12"/>
        <v>8.4194187498900419</v>
      </c>
      <c r="R18" s="468" t="str">
        <f t="shared" ca="1" si="12"/>
        <v>N/A</v>
      </c>
      <c r="S18" s="124" t="str">
        <f t="shared" ca="1" si="12"/>
        <v>N/A</v>
      </c>
      <c r="U18" s="125">
        <f t="shared" ref="U18:AV18" ca="1" si="13">IF(ISBLANK(IFERROR(INDIRECT("'"&amp;$B18&amp;"'!"&amp;U$4),"-")),"-",IFERROR(INDIRECT("'"&amp;$B18&amp;"'!"&amp;U$4),"-"))</f>
        <v>4.2500000000000003E-2</v>
      </c>
      <c r="V18" s="125">
        <f t="shared" ca="1" si="13"/>
        <v>0.11</v>
      </c>
      <c r="W18" s="125">
        <f t="shared" ca="1" si="13"/>
        <v>0.5</v>
      </c>
      <c r="X18" s="185">
        <f t="shared" ca="1" si="13"/>
        <v>20</v>
      </c>
      <c r="Y18" s="125">
        <f t="shared" ca="1" si="13"/>
        <v>0.17499999999999999</v>
      </c>
      <c r="Z18" s="125">
        <f t="shared" ca="1" si="13"/>
        <v>0.82799999999999996</v>
      </c>
      <c r="AA18" s="125">
        <f t="shared" ca="1" si="13"/>
        <v>0.71153846153846145</v>
      </c>
      <c r="AB18" s="125">
        <f t="shared" ca="1" si="13"/>
        <v>0.32499999999999996</v>
      </c>
      <c r="AC18" s="125">
        <f t="shared" ca="1" si="13"/>
        <v>0.77500000000000002</v>
      </c>
      <c r="AD18" s="430">
        <f t="shared" ca="1" si="13"/>
        <v>3</v>
      </c>
      <c r="AE18" s="413">
        <f t="shared" ca="1" si="13"/>
        <v>1.4</v>
      </c>
      <c r="AF18" s="413">
        <f t="shared" ca="1" si="13"/>
        <v>8</v>
      </c>
      <c r="AG18" s="664">
        <f t="shared" ca="1" si="13"/>
        <v>1.7608179999999999E-3</v>
      </c>
      <c r="AH18" s="185">
        <f t="shared" ca="1" si="13"/>
        <v>25</v>
      </c>
      <c r="AI18" s="125">
        <f t="shared" ca="1" si="13"/>
        <v>0.22500000000000001</v>
      </c>
      <c r="AJ18" s="125">
        <f t="shared" ca="1" si="13"/>
        <v>0.24959999999999999</v>
      </c>
      <c r="AK18" s="125">
        <f t="shared" ca="1" si="13"/>
        <v>0.19389999999999999</v>
      </c>
      <c r="AL18" s="125">
        <f t="shared" ca="1" si="13"/>
        <v>1</v>
      </c>
      <c r="AM18" s="125">
        <f t="shared" ca="1" si="13"/>
        <v>1</v>
      </c>
      <c r="AN18" s="125">
        <f t="shared" ca="1" si="13"/>
        <v>0.81</v>
      </c>
      <c r="AO18" s="125">
        <f t="shared" ca="1" si="13"/>
        <v>1</v>
      </c>
      <c r="AP18" s="125">
        <f t="shared" ca="1" si="13"/>
        <v>1</v>
      </c>
      <c r="AQ18" s="125">
        <f t="shared" ca="1" si="13"/>
        <v>0.9</v>
      </c>
      <c r="AR18" s="186">
        <f t="shared" ca="1" si="13"/>
        <v>0.74</v>
      </c>
      <c r="AS18" s="186">
        <f t="shared" ca="1" si="13"/>
        <v>0.90720000000000001</v>
      </c>
      <c r="AT18" s="125">
        <f t="shared" ca="1" si="13"/>
        <v>0.86</v>
      </c>
      <c r="AU18" s="662">
        <f t="shared" ca="1" si="13"/>
        <v>30</v>
      </c>
      <c r="AV18" s="125">
        <f t="shared" ca="1" si="13"/>
        <v>1.75</v>
      </c>
      <c r="AW18" s="275"/>
      <c r="AX18" s="181">
        <f ca="1">IF(ISBLANK(IFERROR(INDIRECT("'"&amp;$B18&amp;"'!"&amp;AX$4),"-")),"-",IFERROR(INDIRECT("'"&amp;$B18&amp;"'!"&amp;AX$4),"-"))</f>
        <v>1.0064924999999997E-2</v>
      </c>
      <c r="AY18" s="181">
        <f ca="1">IF(ISBLANK(IFERROR(INDIRECT("'"&amp;$B18&amp;"'!"&amp;AY$4),"-")),"-",IFERROR(INDIRECT("'"&amp;$B18&amp;"'!"&amp;AY$4),"-"))</f>
        <v>7.8188660156249968E-3</v>
      </c>
      <c r="AZ18" s="181">
        <f ca="1">IF(ISBLANK(IFERROR(INDIRECT("'"&amp;$B18&amp;"'!"&amp;AZ$4),"-")),"-",IFERROR(INDIRECT("'"&amp;$B18&amp;"'!"&amp;AZ$4),"-"))</f>
        <v>4.0324218749999988E-2</v>
      </c>
      <c r="BA18" s="181" t="str">
        <f ca="1">IF(ISBLANK(IFERROR(INDIRECT("'"&amp;$B18&amp;"'!"&amp;BA$4),"-")),"-",IFERROR(INDIRECT("'"&amp;$B18&amp;"'!"&amp;BA$4),"-"))</f>
        <v>-</v>
      </c>
      <c r="BB18" s="181" t="str">
        <f ca="1">IF(ISBLANK(IFERROR(INDIRECT("'"&amp;$B18&amp;"'!"&amp;BB$4),"-")),"-",IFERROR(INDIRECT("'"&amp;$B18&amp;"'!"&amp;BB$4),"-"))</f>
        <v>-</v>
      </c>
    </row>
    <row r="20" spans="2:54" x14ac:dyDescent="0.25">
      <c r="H20" s="177"/>
      <c r="I20" s="231"/>
      <c r="J20" s="231"/>
      <c r="K20" s="177"/>
    </row>
    <row r="21" spans="2:54" x14ac:dyDescent="0.25">
      <c r="H21" s="177"/>
      <c r="I21" s="231"/>
      <c r="J21" s="231"/>
      <c r="K21" s="177"/>
    </row>
    <row r="22" spans="2:54" x14ac:dyDescent="0.25">
      <c r="H22" s="177"/>
      <c r="I22" s="231"/>
      <c r="J22" s="231"/>
      <c r="K22" s="177"/>
    </row>
    <row r="23" spans="2:54" x14ac:dyDescent="0.25">
      <c r="H23" s="177"/>
      <c r="I23" s="231"/>
      <c r="J23" s="231"/>
      <c r="K23" s="177"/>
    </row>
    <row r="24" spans="2:54" x14ac:dyDescent="0.25">
      <c r="H24" s="177"/>
      <c r="I24" s="231"/>
      <c r="J24" s="231"/>
      <c r="K24" s="177"/>
    </row>
    <row r="25" spans="2:54" x14ac:dyDescent="0.25">
      <c r="H25" s="177"/>
      <c r="I25" s="231"/>
      <c r="J25" s="231"/>
      <c r="K25" s="177"/>
    </row>
    <row r="26" spans="2:54" x14ac:dyDescent="0.25">
      <c r="H26" s="177"/>
      <c r="I26" s="231"/>
      <c r="J26" s="231"/>
      <c r="K26" s="177"/>
    </row>
    <row r="27" spans="2:54" x14ac:dyDescent="0.25">
      <c r="H27" s="177"/>
      <c r="I27" s="231"/>
      <c r="J27" s="231"/>
      <c r="K27" s="177"/>
    </row>
    <row r="28" spans="2:54" x14ac:dyDescent="0.25">
      <c r="H28" s="177"/>
      <c r="I28" s="231"/>
      <c r="J28" s="231"/>
      <c r="K28" s="177"/>
    </row>
    <row r="29" spans="2:54" x14ac:dyDescent="0.25">
      <c r="H29" s="177"/>
      <c r="I29" s="231"/>
      <c r="J29" s="231"/>
      <c r="K29" s="177"/>
    </row>
    <row r="30" spans="2:54" x14ac:dyDescent="0.25">
      <c r="H30" s="177"/>
      <c r="I30" s="231"/>
      <c r="J30" s="231"/>
      <c r="K30" s="177"/>
    </row>
    <row r="31" spans="2:54" x14ac:dyDescent="0.25">
      <c r="H31" s="177"/>
      <c r="I31" s="231"/>
      <c r="J31" s="231"/>
      <c r="K31" s="177"/>
    </row>
    <row r="32" spans="2:54" x14ac:dyDescent="0.25">
      <c r="H32" s="177"/>
      <c r="I32" s="231"/>
      <c r="J32" s="231"/>
      <c r="K32" s="177"/>
    </row>
    <row r="33" spans="8:11" x14ac:dyDescent="0.25">
      <c r="H33" s="177"/>
      <c r="I33" s="231"/>
      <c r="J33" s="231"/>
      <c r="K33" s="177"/>
    </row>
    <row r="34" spans="8:11" x14ac:dyDescent="0.25">
      <c r="H34" s="177"/>
      <c r="I34" s="231"/>
      <c r="J34" s="231"/>
      <c r="K34" s="177"/>
    </row>
    <row r="35" spans="8:11" x14ac:dyDescent="0.25">
      <c r="H35" s="177"/>
      <c r="I35" s="231"/>
      <c r="J35" s="231"/>
      <c r="K35" s="177"/>
    </row>
    <row r="36" spans="8:11" x14ac:dyDescent="0.25">
      <c r="H36" s="177"/>
      <c r="I36" s="231"/>
      <c r="J36" s="231"/>
      <c r="K36" s="177"/>
    </row>
    <row r="37" spans="8:11" x14ac:dyDescent="0.25">
      <c r="H37" s="177"/>
      <c r="I37" s="231"/>
      <c r="J37" s="231"/>
      <c r="K37" s="177"/>
    </row>
    <row r="38" spans="8:11" x14ac:dyDescent="0.25">
      <c r="H38" s="177"/>
      <c r="I38" s="231"/>
      <c r="J38" s="231"/>
      <c r="K38" s="177"/>
    </row>
    <row r="39" spans="8:11" x14ac:dyDescent="0.25">
      <c r="H39" s="177"/>
      <c r="I39" s="231"/>
      <c r="J39" s="231"/>
      <c r="K39" s="177"/>
    </row>
    <row r="40" spans="8:11" x14ac:dyDescent="0.25">
      <c r="H40" s="177"/>
      <c r="I40" s="231"/>
      <c r="J40" s="231"/>
      <c r="K40" s="177"/>
    </row>
    <row r="41" spans="8:11" x14ac:dyDescent="0.25">
      <c r="H41" s="177"/>
      <c r="I41" s="231"/>
      <c r="J41" s="231"/>
      <c r="K41" s="177"/>
    </row>
  </sheetData>
  <mergeCells count="32">
    <mergeCell ref="AL2:AM2"/>
    <mergeCell ref="AP2:AQ2"/>
    <mergeCell ref="AR2:AS2"/>
    <mergeCell ref="AN2:AO2"/>
    <mergeCell ref="AV2:AV3"/>
    <mergeCell ref="AT2:AT3"/>
    <mergeCell ref="AU2:AU3"/>
    <mergeCell ref="Y2:Y3"/>
    <mergeCell ref="AF2:AF3"/>
    <mergeCell ref="C2:F2"/>
    <mergeCell ref="M2:P2"/>
    <mergeCell ref="I2:L2"/>
    <mergeCell ref="U2:U3"/>
    <mergeCell ref="V2:V3"/>
    <mergeCell ref="G2:G3"/>
    <mergeCell ref="H2:H3"/>
    <mergeCell ref="BA2:BA3"/>
    <mergeCell ref="BB2:BB3"/>
    <mergeCell ref="Q2:S2"/>
    <mergeCell ref="AG2:AG3"/>
    <mergeCell ref="AH2:AH3"/>
    <mergeCell ref="AI2:AI3"/>
    <mergeCell ref="AA2:AA3"/>
    <mergeCell ref="AB2:AB3"/>
    <mergeCell ref="AC2:AC3"/>
    <mergeCell ref="AD2:AD3"/>
    <mergeCell ref="AE2:AE3"/>
    <mergeCell ref="AX2:AZ2"/>
    <mergeCell ref="AJ2:AK2"/>
    <mergeCell ref="W2:W3"/>
    <mergeCell ref="X2:X3"/>
    <mergeCell ref="Z2:Z3"/>
  </mergeCells>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4"/>
  <sheetViews>
    <sheetView workbookViewId="0">
      <pane ySplit="2" topLeftCell="A15" activePane="bottomLeft" state="frozen"/>
      <selection activeCell="I65" sqref="I65:P75"/>
      <selection pane="bottomLeft"/>
    </sheetView>
  </sheetViews>
  <sheetFormatPr defaultColWidth="11.42578125" defaultRowHeight="15" x14ac:dyDescent="0.25"/>
  <cols>
    <col min="1" max="1" width="4.42578125" style="80" customWidth="1"/>
    <col min="2" max="2" width="39.42578125" style="53" customWidth="1"/>
    <col min="3" max="3" width="27.140625" style="65" hidden="1" customWidth="1"/>
    <col min="4" max="4" width="13.140625" style="54" customWidth="1"/>
    <col min="5" max="5" width="13.85546875" style="54" customWidth="1"/>
    <col min="6" max="6" width="12.42578125" style="54" bestFit="1" customWidth="1"/>
    <col min="7" max="7" width="16.85546875" style="54" customWidth="1"/>
    <col min="8" max="13" width="11.42578125" style="54"/>
    <col min="14" max="14" width="12.85546875" style="54" bestFit="1" customWidth="1"/>
    <col min="15" max="16384" width="11.42578125" style="54"/>
  </cols>
  <sheetData>
    <row r="1" spans="1:15" x14ac:dyDescent="0.25">
      <c r="A1" s="190"/>
      <c r="B1" s="68"/>
      <c r="C1" s="64" t="s">
        <v>47</v>
      </c>
      <c r="D1" s="761" t="s">
        <v>457</v>
      </c>
      <c r="E1" s="761"/>
      <c r="F1" s="761"/>
      <c r="G1" s="761"/>
      <c r="H1" s="761"/>
      <c r="I1" s="762" t="s">
        <v>458</v>
      </c>
      <c r="J1" s="762"/>
      <c r="K1" s="762"/>
      <c r="L1" s="762"/>
      <c r="M1" s="762"/>
      <c r="N1" s="83" t="s">
        <v>157</v>
      </c>
    </row>
    <row r="2" spans="1:15" x14ac:dyDescent="0.25">
      <c r="C2" s="72"/>
      <c r="D2" s="52">
        <v>1</v>
      </c>
      <c r="E2" s="52">
        <v>2</v>
      </c>
      <c r="F2" s="52">
        <v>3</v>
      </c>
      <c r="G2" s="52">
        <v>4</v>
      </c>
      <c r="H2" s="52">
        <v>5</v>
      </c>
      <c r="I2" s="52">
        <v>1</v>
      </c>
      <c r="J2" s="52">
        <v>2</v>
      </c>
      <c r="K2" s="52">
        <v>3</v>
      </c>
      <c r="L2" s="52">
        <v>4</v>
      </c>
      <c r="M2" s="52">
        <v>5</v>
      </c>
    </row>
    <row r="3" spans="1:15" x14ac:dyDescent="0.25">
      <c r="A3" s="187" t="s">
        <v>50</v>
      </c>
      <c r="B3" s="54"/>
      <c r="C3" s="72"/>
      <c r="D3" s="55"/>
      <c r="E3" s="55"/>
      <c r="F3" s="55"/>
      <c r="G3" s="56"/>
      <c r="H3" s="56"/>
    </row>
    <row r="4" spans="1:15" x14ac:dyDescent="0.25">
      <c r="A4" s="188"/>
      <c r="B4" s="57" t="s">
        <v>51</v>
      </c>
      <c r="C4" s="73"/>
      <c r="D4" s="60">
        <v>0.05</v>
      </c>
      <c r="E4" s="60">
        <v>0.03</v>
      </c>
      <c r="F4" s="55"/>
      <c r="G4" s="55"/>
      <c r="H4" s="56"/>
      <c r="I4" s="56" t="s">
        <v>125</v>
      </c>
      <c r="J4" s="54" t="s">
        <v>52</v>
      </c>
      <c r="K4" s="56"/>
    </row>
    <row r="5" spans="1:15" ht="41.45" customHeight="1" x14ac:dyDescent="0.25">
      <c r="A5" s="189"/>
      <c r="B5" s="69" t="s">
        <v>662</v>
      </c>
      <c r="C5" s="173" t="s">
        <v>126</v>
      </c>
      <c r="D5" s="55">
        <f>0.37/0.52</f>
        <v>0.71153846153846145</v>
      </c>
      <c r="E5" s="55">
        <f>0.37/(0.52+0.14)</f>
        <v>0.56060606060606055</v>
      </c>
      <c r="F5" s="55">
        <f>(0.37/(1-0.37))/(0.52/(1-0.52))</f>
        <v>0.54212454212454209</v>
      </c>
      <c r="G5" s="55">
        <f>(0.37/(1-0.37))/((0.52+0.14)/(1-(0.52+0.14)))</f>
        <v>0.30254930254930251</v>
      </c>
      <c r="H5" s="125">
        <v>1</v>
      </c>
      <c r="I5" s="195" t="s">
        <v>300</v>
      </c>
      <c r="J5" s="503" t="s">
        <v>455</v>
      </c>
      <c r="K5" s="503" t="s">
        <v>298</v>
      </c>
      <c r="L5" s="503" t="s">
        <v>299</v>
      </c>
      <c r="M5" s="603" t="s">
        <v>652</v>
      </c>
      <c r="N5" s="274" t="s">
        <v>159</v>
      </c>
    </row>
    <row r="6" spans="1:15" ht="60" x14ac:dyDescent="0.25">
      <c r="A6" s="183"/>
      <c r="B6" s="69" t="s">
        <v>54</v>
      </c>
      <c r="C6" s="62"/>
      <c r="D6" s="60">
        <v>1</v>
      </c>
      <c r="E6" s="125">
        <v>0.8</v>
      </c>
      <c r="F6" s="154">
        <f>D28/10</f>
        <v>0.24100000000000002</v>
      </c>
      <c r="G6" s="56"/>
      <c r="H6" s="56"/>
      <c r="I6" s="55" t="s">
        <v>91</v>
      </c>
      <c r="J6" s="54" t="s">
        <v>660</v>
      </c>
      <c r="K6" s="56" t="s">
        <v>659</v>
      </c>
      <c r="L6" s="56"/>
      <c r="M6" s="56"/>
      <c r="N6" s="56"/>
      <c r="O6" s="56"/>
    </row>
    <row r="7" spans="1:15" ht="45" x14ac:dyDescent="0.25">
      <c r="A7" s="183"/>
      <c r="B7" s="69" t="s">
        <v>128</v>
      </c>
      <c r="C7" s="62" t="s">
        <v>136</v>
      </c>
      <c r="D7" s="60">
        <v>0.5</v>
      </c>
      <c r="E7" s="60">
        <v>0.23</v>
      </c>
      <c r="F7" s="60">
        <v>0.85</v>
      </c>
      <c r="G7" s="60">
        <v>0.6</v>
      </c>
      <c r="H7" s="55"/>
      <c r="I7" s="56" t="s">
        <v>241</v>
      </c>
      <c r="J7" s="56" t="s">
        <v>691</v>
      </c>
      <c r="K7" s="56" t="s">
        <v>129</v>
      </c>
      <c r="L7" s="56" t="s">
        <v>209</v>
      </c>
      <c r="M7" s="56"/>
      <c r="N7" s="56"/>
      <c r="O7" s="56"/>
    </row>
    <row r="8" spans="1:15" ht="45" x14ac:dyDescent="0.25">
      <c r="A8" s="183"/>
      <c r="B8" s="69" t="s">
        <v>323</v>
      </c>
      <c r="C8" s="62"/>
      <c r="D8" s="58">
        <v>3</v>
      </c>
      <c r="E8" s="58">
        <v>2</v>
      </c>
      <c r="F8" s="58">
        <v>4</v>
      </c>
      <c r="G8" s="56"/>
      <c r="H8" s="55"/>
      <c r="I8" s="765" t="s">
        <v>413</v>
      </c>
      <c r="J8" s="766"/>
      <c r="K8" s="766"/>
      <c r="L8" s="766"/>
      <c r="M8" s="766"/>
      <c r="N8" s="56"/>
      <c r="O8" s="56"/>
    </row>
    <row r="9" spans="1:15" x14ac:dyDescent="0.25">
      <c r="A9" s="189"/>
      <c r="B9" s="69" t="s">
        <v>127</v>
      </c>
      <c r="C9" s="62"/>
      <c r="D9" s="164">
        <v>1.7608179999999999E-3</v>
      </c>
      <c r="E9" s="165">
        <v>1.6824299999999999E-3</v>
      </c>
      <c r="F9" s="166">
        <v>1.8268850000000001E-3</v>
      </c>
      <c r="G9" s="163"/>
      <c r="H9" s="163"/>
      <c r="I9" s="56" t="s">
        <v>201</v>
      </c>
      <c r="J9" s="56" t="s">
        <v>111</v>
      </c>
      <c r="K9" s="56" t="s">
        <v>112</v>
      </c>
      <c r="L9" s="56"/>
      <c r="M9" s="56"/>
      <c r="N9" s="56"/>
      <c r="O9" s="56"/>
    </row>
    <row r="10" spans="1:15" x14ac:dyDescent="0.25">
      <c r="A10" s="183"/>
      <c r="B10" s="69"/>
      <c r="C10" s="62"/>
      <c r="D10" s="164"/>
      <c r="E10" s="165"/>
      <c r="F10" s="166"/>
      <c r="G10" s="55"/>
      <c r="H10" s="55"/>
      <c r="I10" s="56"/>
      <c r="J10" s="56"/>
      <c r="K10" s="172"/>
      <c r="L10" s="172"/>
      <c r="M10" s="56"/>
      <c r="N10" s="56"/>
      <c r="O10" s="56"/>
    </row>
    <row r="11" spans="1:15" x14ac:dyDescent="0.25">
      <c r="A11" s="191" t="s">
        <v>55</v>
      </c>
      <c r="B11" s="56"/>
      <c r="C11" s="74"/>
      <c r="D11" s="56"/>
      <c r="E11" s="56"/>
      <c r="F11" s="56"/>
      <c r="G11" s="55"/>
      <c r="H11" s="55"/>
      <c r="I11" s="56"/>
      <c r="J11" s="56"/>
      <c r="K11" s="437"/>
      <c r="L11" s="172"/>
      <c r="M11" s="56"/>
      <c r="N11" s="602"/>
      <c r="O11" s="56"/>
    </row>
    <row r="12" spans="1:15" x14ac:dyDescent="0.25">
      <c r="A12" s="183"/>
      <c r="B12" s="69" t="s">
        <v>56</v>
      </c>
      <c r="C12" s="62"/>
      <c r="D12" s="168">
        <v>1.26</v>
      </c>
      <c r="E12" s="168">
        <f>$D12*42%</f>
        <v>0.5292</v>
      </c>
      <c r="F12" s="168">
        <f>$D12*(1-28%)</f>
        <v>0.90720000000000001</v>
      </c>
      <c r="G12" s="56"/>
      <c r="H12" s="56"/>
      <c r="I12" s="56" t="s">
        <v>235</v>
      </c>
      <c r="J12" s="56" t="s">
        <v>242</v>
      </c>
      <c r="K12" s="56" t="s">
        <v>243</v>
      </c>
      <c r="L12" s="438"/>
      <c r="M12" s="438"/>
      <c r="N12" s="435" t="s">
        <v>689</v>
      </c>
      <c r="O12" s="435" t="s">
        <v>690</v>
      </c>
    </row>
    <row r="13" spans="1:15" ht="30" x14ac:dyDescent="0.25">
      <c r="A13" s="183"/>
      <c r="B13" s="69" t="s">
        <v>57</v>
      </c>
      <c r="C13" s="62"/>
      <c r="D13" s="60">
        <v>0.9</v>
      </c>
      <c r="E13" s="60">
        <v>0.75</v>
      </c>
      <c r="G13" s="56"/>
      <c r="H13" s="56"/>
      <c r="I13" s="56" t="s">
        <v>670</v>
      </c>
      <c r="J13" s="56" t="s">
        <v>663</v>
      </c>
      <c r="L13" s="172"/>
      <c r="M13" s="56"/>
      <c r="N13" s="56"/>
      <c r="O13" s="56"/>
    </row>
    <row r="14" spans="1:15" x14ac:dyDescent="0.25">
      <c r="A14" s="183"/>
      <c r="B14" s="69" t="s">
        <v>58</v>
      </c>
      <c r="C14" s="62"/>
      <c r="D14" s="55">
        <v>0.19389999999999999</v>
      </c>
      <c r="E14" s="439">
        <v>0.12139999999999999</v>
      </c>
      <c r="F14" s="439">
        <v>0.16870990521294082</v>
      </c>
      <c r="G14" s="439">
        <v>0.26300000000000001</v>
      </c>
      <c r="H14" s="439">
        <v>0.438</v>
      </c>
      <c r="I14" s="56" t="s">
        <v>692</v>
      </c>
      <c r="J14" s="56" t="s">
        <v>314</v>
      </c>
      <c r="K14" s="56" t="s">
        <v>315</v>
      </c>
      <c r="L14" s="56" t="s">
        <v>566</v>
      </c>
      <c r="M14" s="56" t="s">
        <v>311</v>
      </c>
      <c r="N14" s="56" t="s">
        <v>649</v>
      </c>
      <c r="O14" s="56"/>
    </row>
    <row r="15" spans="1:15" ht="27.75" customHeight="1" x14ac:dyDescent="0.25">
      <c r="A15" s="183"/>
      <c r="B15" s="69" t="s">
        <v>321</v>
      </c>
      <c r="C15" s="62" t="s">
        <v>114</v>
      </c>
      <c r="D15" s="60">
        <v>1</v>
      </c>
      <c r="E15" s="60">
        <f>E22</f>
        <v>0.81</v>
      </c>
      <c r="F15" s="60">
        <f t="shared" ref="F15:G15" si="0">F22</f>
        <v>0.77</v>
      </c>
      <c r="G15" s="60">
        <f t="shared" si="0"/>
        <v>0.71</v>
      </c>
      <c r="H15" s="55"/>
      <c r="I15" s="56" t="s">
        <v>673</v>
      </c>
      <c r="J15" s="56"/>
      <c r="K15" s="56"/>
      <c r="L15" s="172"/>
      <c r="M15" s="56"/>
      <c r="N15" s="56"/>
      <c r="O15" s="56"/>
    </row>
    <row r="16" spans="1:15" ht="27.75" customHeight="1" x14ac:dyDescent="0.25">
      <c r="A16" s="183"/>
      <c r="B16" s="69" t="s">
        <v>166</v>
      </c>
      <c r="C16" s="62"/>
      <c r="D16" s="60">
        <v>1</v>
      </c>
      <c r="E16" s="55"/>
      <c r="F16" s="55"/>
      <c r="G16" s="56"/>
      <c r="H16" s="56"/>
      <c r="I16" s="56" t="s">
        <v>244</v>
      </c>
      <c r="J16" s="56"/>
      <c r="K16" s="56"/>
      <c r="L16" s="172"/>
      <c r="M16" s="56"/>
      <c r="N16" s="56"/>
      <c r="O16" s="56"/>
    </row>
    <row r="17" spans="1:15" x14ac:dyDescent="0.25">
      <c r="A17" s="183"/>
      <c r="B17" s="69"/>
      <c r="C17" s="62"/>
      <c r="D17" s="55"/>
      <c r="E17" s="55"/>
      <c r="F17" s="55"/>
      <c r="G17" s="55"/>
      <c r="H17" s="55"/>
      <c r="I17" s="56"/>
      <c r="J17" s="56"/>
      <c r="K17" s="172"/>
      <c r="L17" s="172"/>
      <c r="M17" s="56"/>
      <c r="N17" s="56"/>
      <c r="O17" s="56"/>
    </row>
    <row r="18" spans="1:15" x14ac:dyDescent="0.25">
      <c r="A18" s="191" t="s">
        <v>59</v>
      </c>
      <c r="B18" s="440"/>
      <c r="C18" s="74"/>
      <c r="D18" s="55"/>
      <c r="E18" s="55"/>
      <c r="F18" s="55"/>
      <c r="G18" s="55"/>
      <c r="H18" s="55"/>
      <c r="I18" s="56"/>
      <c r="J18" s="56"/>
      <c r="K18" s="172"/>
      <c r="L18" s="172"/>
      <c r="M18" s="56"/>
      <c r="N18" s="56"/>
      <c r="O18" s="56"/>
    </row>
    <row r="19" spans="1:15" x14ac:dyDescent="0.25">
      <c r="A19" s="183"/>
      <c r="B19" s="69" t="s">
        <v>56</v>
      </c>
      <c r="C19" s="62"/>
      <c r="D19" s="168">
        <v>0.8</v>
      </c>
      <c r="E19" s="168">
        <v>0.56000000000000005</v>
      </c>
      <c r="F19" s="168">
        <v>0.78</v>
      </c>
      <c r="G19" s="168">
        <v>7.4999999999999997E-2</v>
      </c>
      <c r="H19" s="56"/>
      <c r="I19" s="56" t="s">
        <v>245</v>
      </c>
      <c r="J19" s="56" t="s">
        <v>246</v>
      </c>
      <c r="K19" s="56" t="s">
        <v>247</v>
      </c>
      <c r="L19" s="56" t="s">
        <v>565</v>
      </c>
      <c r="M19" s="56"/>
      <c r="N19" s="435" t="s">
        <v>238</v>
      </c>
      <c r="O19" s="56"/>
    </row>
    <row r="20" spans="1:15" ht="30" x14ac:dyDescent="0.25">
      <c r="A20" s="183"/>
      <c r="B20" s="69" t="s">
        <v>57</v>
      </c>
      <c r="C20" s="62"/>
      <c r="D20" s="60">
        <v>1</v>
      </c>
      <c r="E20" s="55"/>
      <c r="F20" s="55"/>
      <c r="G20" s="56"/>
      <c r="H20" s="56"/>
      <c r="I20" s="61" t="s">
        <v>248</v>
      </c>
      <c r="J20" s="56"/>
      <c r="K20" s="56"/>
      <c r="L20" s="172"/>
      <c r="M20" s="56"/>
      <c r="N20" s="56"/>
      <c r="O20" s="56"/>
    </row>
    <row r="21" spans="1:15" x14ac:dyDescent="0.25">
      <c r="A21" s="183"/>
      <c r="B21" s="69" t="s">
        <v>58</v>
      </c>
      <c r="C21" s="62"/>
      <c r="D21" s="55">
        <v>0.24959999999999999</v>
      </c>
      <c r="E21" s="55">
        <v>0.25840000000000002</v>
      </c>
      <c r="F21" s="441">
        <v>0.32119999999999999</v>
      </c>
      <c r="G21" s="55">
        <v>0.2145</v>
      </c>
      <c r="H21" s="439">
        <v>0.1719</v>
      </c>
      <c r="I21" s="56" t="s">
        <v>312</v>
      </c>
      <c r="J21" s="56" t="s">
        <v>316</v>
      </c>
      <c r="K21" s="56" t="s">
        <v>317</v>
      </c>
      <c r="L21" s="56" t="s">
        <v>566</v>
      </c>
      <c r="M21" s="56" t="s">
        <v>313</v>
      </c>
      <c r="N21" s="56" t="s">
        <v>650</v>
      </c>
      <c r="O21" s="56"/>
    </row>
    <row r="22" spans="1:15" ht="32.450000000000003" customHeight="1" x14ac:dyDescent="0.25">
      <c r="A22" s="183"/>
      <c r="B22" s="69" t="s">
        <v>322</v>
      </c>
      <c r="C22" s="62" t="s">
        <v>96</v>
      </c>
      <c r="D22" s="60">
        <v>1</v>
      </c>
      <c r="E22" s="60">
        <v>0.81</v>
      </c>
      <c r="F22" s="60">
        <v>0.77</v>
      </c>
      <c r="G22" s="60">
        <v>0.71</v>
      </c>
      <c r="H22" s="55"/>
      <c r="I22" s="763" t="s">
        <v>661</v>
      </c>
      <c r="J22" s="764"/>
      <c r="K22" s="764"/>
      <c r="L22" s="764"/>
      <c r="M22" s="764"/>
      <c r="N22" s="435" t="s">
        <v>239</v>
      </c>
      <c r="O22" s="56"/>
    </row>
    <row r="23" spans="1:15" ht="32.450000000000003" customHeight="1" x14ac:dyDescent="0.25">
      <c r="A23" s="183"/>
      <c r="B23" s="69" t="s">
        <v>167</v>
      </c>
      <c r="C23" s="62"/>
      <c r="D23" s="60">
        <v>1</v>
      </c>
      <c r="E23" s="60">
        <v>1.17</v>
      </c>
      <c r="F23" s="60">
        <v>1.07</v>
      </c>
      <c r="G23" s="60">
        <v>1.35</v>
      </c>
      <c r="H23" s="55"/>
      <c r="I23" s="56" t="s">
        <v>556</v>
      </c>
      <c r="J23" s="56" t="s">
        <v>671</v>
      </c>
      <c r="K23" s="56" t="s">
        <v>319</v>
      </c>
      <c r="L23" s="56" t="s">
        <v>320</v>
      </c>
      <c r="M23" s="56"/>
      <c r="N23" s="435" t="s">
        <v>249</v>
      </c>
      <c r="O23" s="56"/>
    </row>
    <row r="24" spans="1:15" x14ac:dyDescent="0.25">
      <c r="B24" s="68"/>
      <c r="C24" s="63"/>
      <c r="D24" s="56"/>
      <c r="F24" s="56"/>
      <c r="G24" s="56"/>
      <c r="H24" s="56"/>
      <c r="I24" s="56"/>
      <c r="K24" s="56"/>
      <c r="L24" s="56"/>
      <c r="M24" s="56"/>
      <c r="N24" s="56"/>
      <c r="O24" s="56"/>
    </row>
    <row r="25" spans="1:15" x14ac:dyDescent="0.25">
      <c r="A25" s="187" t="s">
        <v>60</v>
      </c>
      <c r="B25" s="442"/>
      <c r="C25" s="72"/>
      <c r="D25" s="56"/>
      <c r="E25" s="56"/>
      <c r="F25" s="56"/>
      <c r="G25" s="56"/>
      <c r="H25" s="56"/>
      <c r="I25" s="56"/>
      <c r="J25" s="56"/>
      <c r="K25" s="56"/>
      <c r="L25" s="56"/>
      <c r="M25" s="56"/>
      <c r="N25" s="56"/>
      <c r="O25" s="56"/>
    </row>
    <row r="26" spans="1:15" ht="30" x14ac:dyDescent="0.25">
      <c r="B26" s="68" t="s">
        <v>217</v>
      </c>
      <c r="C26" s="63"/>
      <c r="D26" s="167">
        <v>25</v>
      </c>
      <c r="E26" s="56">
        <v>10</v>
      </c>
      <c r="F26" s="56">
        <v>40</v>
      </c>
      <c r="G26" s="56"/>
      <c r="H26" s="56"/>
      <c r="I26" s="56" t="s">
        <v>219</v>
      </c>
      <c r="J26" s="56" t="s">
        <v>218</v>
      </c>
      <c r="K26" s="56" t="s">
        <v>215</v>
      </c>
      <c r="L26" s="56"/>
      <c r="M26" s="56"/>
      <c r="N26" s="56"/>
      <c r="O26" s="56"/>
    </row>
    <row r="27" spans="1:15" ht="30" x14ac:dyDescent="0.25">
      <c r="B27" s="68" t="s">
        <v>98</v>
      </c>
      <c r="C27" s="63"/>
      <c r="D27" s="75">
        <v>0.26900000000000002</v>
      </c>
      <c r="E27" s="56"/>
      <c r="F27" s="56"/>
      <c r="G27" s="56"/>
      <c r="H27" s="56"/>
      <c r="I27" s="56" t="s">
        <v>677</v>
      </c>
      <c r="J27" s="56"/>
      <c r="K27" s="56"/>
      <c r="L27" s="56"/>
      <c r="M27" s="56"/>
      <c r="N27" s="56" t="s">
        <v>22</v>
      </c>
      <c r="O27" s="56"/>
    </row>
    <row r="28" spans="1:15" ht="30" x14ac:dyDescent="0.25">
      <c r="B28" s="68" t="s">
        <v>97</v>
      </c>
      <c r="C28" s="63"/>
      <c r="D28" s="75">
        <v>2.41</v>
      </c>
      <c r="E28" s="56"/>
      <c r="F28" s="56"/>
      <c r="G28" s="56"/>
      <c r="H28" s="56"/>
      <c r="I28" s="56" t="s">
        <v>678</v>
      </c>
      <c r="J28" s="56"/>
      <c r="K28" s="56"/>
      <c r="L28" s="56"/>
      <c r="M28" s="56"/>
      <c r="N28" s="56"/>
      <c r="O28" s="56"/>
    </row>
    <row r="29" spans="1:15" s="275" customFormat="1" ht="29.1" customHeight="1" x14ac:dyDescent="0.25">
      <c r="A29" s="80"/>
      <c r="B29" s="505" t="s">
        <v>553</v>
      </c>
      <c r="C29" s="504"/>
      <c r="D29" s="75">
        <v>10</v>
      </c>
      <c r="E29" s="56">
        <v>5</v>
      </c>
      <c r="F29" s="56">
        <v>8</v>
      </c>
      <c r="G29" s="56"/>
      <c r="H29" s="56"/>
      <c r="I29" s="56" t="s">
        <v>694</v>
      </c>
      <c r="J29" s="56" t="s">
        <v>695</v>
      </c>
      <c r="K29" s="56" t="s">
        <v>696</v>
      </c>
      <c r="L29" s="56" t="s">
        <v>506</v>
      </c>
      <c r="M29" s="56"/>
      <c r="N29" s="527" t="s">
        <v>693</v>
      </c>
      <c r="O29" s="56"/>
    </row>
    <row r="30" spans="1:15" ht="30" x14ac:dyDescent="0.25">
      <c r="B30" s="68" t="s">
        <v>15</v>
      </c>
      <c r="C30" s="63"/>
      <c r="D30" s="154">
        <v>0.16600000000000001</v>
      </c>
      <c r="E30" s="56"/>
      <c r="F30" s="56"/>
      <c r="G30" s="56"/>
      <c r="H30" s="56"/>
      <c r="I30" s="56" t="s">
        <v>679</v>
      </c>
      <c r="J30" s="56"/>
      <c r="K30" s="56"/>
      <c r="L30" s="56"/>
      <c r="M30" s="56"/>
      <c r="N30" s="56"/>
      <c r="O30" s="56"/>
    </row>
    <row r="31" spans="1:15" ht="30" x14ac:dyDescent="0.25">
      <c r="B31" s="68" t="s">
        <v>199</v>
      </c>
      <c r="C31" s="63"/>
      <c r="D31" s="60">
        <v>0.3</v>
      </c>
      <c r="E31" s="174">
        <f>D30</f>
        <v>0.16600000000000001</v>
      </c>
      <c r="F31" s="56"/>
      <c r="G31" s="56"/>
      <c r="H31" s="56"/>
      <c r="I31" s="56" t="s">
        <v>681</v>
      </c>
      <c r="J31" s="56" t="s">
        <v>200</v>
      </c>
      <c r="K31" s="56"/>
      <c r="L31" s="56"/>
      <c r="M31" s="56"/>
      <c r="N31" s="56"/>
      <c r="O31" s="56"/>
    </row>
    <row r="32" spans="1:15" ht="30" x14ac:dyDescent="0.25">
      <c r="B32" s="68" t="s">
        <v>301</v>
      </c>
      <c r="C32" s="63"/>
      <c r="D32" s="58">
        <v>1</v>
      </c>
      <c r="E32" s="58">
        <v>2</v>
      </c>
      <c r="F32" s="443">
        <v>1.4</v>
      </c>
      <c r="G32" s="56"/>
      <c r="H32" s="56"/>
      <c r="I32" s="56" t="s">
        <v>302</v>
      </c>
      <c r="J32" s="56" t="s">
        <v>309</v>
      </c>
      <c r="K32" s="56" t="s">
        <v>456</v>
      </c>
      <c r="L32" s="56"/>
      <c r="M32" s="56"/>
      <c r="N32" s="56"/>
      <c r="O32" s="56"/>
    </row>
    <row r="33" spans="1:15" x14ac:dyDescent="0.25">
      <c r="A33" s="183"/>
      <c r="B33" s="69"/>
      <c r="C33" s="62"/>
      <c r="D33" s="56"/>
      <c r="E33" s="56"/>
      <c r="F33" s="56"/>
      <c r="G33" s="56"/>
      <c r="H33" s="56"/>
      <c r="I33" s="56"/>
      <c r="J33" s="56"/>
      <c r="K33" s="56"/>
      <c r="L33" s="56"/>
      <c r="M33" s="56"/>
      <c r="N33" s="56"/>
      <c r="O33" s="56"/>
    </row>
    <row r="34" spans="1:15" x14ac:dyDescent="0.25">
      <c r="A34" s="192" t="s">
        <v>168</v>
      </c>
      <c r="B34" s="444"/>
      <c r="C34" s="63"/>
      <c r="D34" s="58"/>
      <c r="E34" s="56"/>
      <c r="F34" s="56"/>
      <c r="G34" s="56"/>
      <c r="H34" s="56"/>
      <c r="I34" s="445"/>
      <c r="J34" s="56"/>
      <c r="K34" s="56"/>
      <c r="L34" s="56"/>
      <c r="M34" s="56"/>
      <c r="N34" s="56"/>
      <c r="O34" s="56"/>
    </row>
    <row r="35" spans="1:15" x14ac:dyDescent="0.25">
      <c r="B35" s="68" t="s">
        <v>175</v>
      </c>
      <c r="C35" s="63"/>
      <c r="D35" s="151">
        <v>0.08</v>
      </c>
      <c r="E35" s="151">
        <v>0.05</v>
      </c>
      <c r="F35" s="151">
        <v>0.1</v>
      </c>
      <c r="H35" s="151"/>
      <c r="I35" s="56" t="s">
        <v>680</v>
      </c>
      <c r="J35" s="336" t="s">
        <v>194</v>
      </c>
      <c r="K35" s="336" t="s">
        <v>223</v>
      </c>
      <c r="M35" s="56"/>
      <c r="N35" s="56"/>
      <c r="O35" s="56"/>
    </row>
    <row r="36" spans="1:15" x14ac:dyDescent="0.25">
      <c r="B36" s="68" t="s">
        <v>169</v>
      </c>
      <c r="C36" s="63"/>
      <c r="D36" s="152">
        <v>0.8</v>
      </c>
      <c r="E36" s="152">
        <v>0.6</v>
      </c>
      <c r="F36" s="152">
        <v>0.9</v>
      </c>
      <c r="G36" s="152"/>
      <c r="H36" s="152"/>
      <c r="I36" s="336" t="s">
        <v>196</v>
      </c>
      <c r="J36" s="56" t="s">
        <v>197</v>
      </c>
      <c r="K36" s="56" t="s">
        <v>198</v>
      </c>
      <c r="L36" s="56"/>
      <c r="M36" s="56"/>
      <c r="N36" s="435" t="s">
        <v>252</v>
      </c>
      <c r="O36" s="56"/>
    </row>
    <row r="37" spans="1:15" x14ac:dyDescent="0.25">
      <c r="B37" s="68" t="s">
        <v>170</v>
      </c>
      <c r="C37" s="63"/>
      <c r="D37" s="152">
        <v>0.7</v>
      </c>
      <c r="E37" s="152"/>
      <c r="F37" s="152"/>
      <c r="G37" s="152"/>
      <c r="H37" s="152"/>
      <c r="I37" s="336" t="s">
        <v>674</v>
      </c>
      <c r="J37" s="56"/>
      <c r="K37" s="56"/>
      <c r="L37" s="56"/>
      <c r="M37" s="56"/>
      <c r="N37" s="435" t="s">
        <v>252</v>
      </c>
      <c r="O37" s="56"/>
    </row>
    <row r="38" spans="1:15" ht="30" x14ac:dyDescent="0.25">
      <c r="B38" s="68" t="s">
        <v>184</v>
      </c>
      <c r="C38" s="63"/>
      <c r="D38" s="152">
        <v>1</v>
      </c>
      <c r="E38" s="152">
        <v>2</v>
      </c>
      <c r="I38" s="275" t="s">
        <v>512</v>
      </c>
      <c r="J38" s="56" t="s">
        <v>221</v>
      </c>
      <c r="L38" s="56"/>
      <c r="M38" s="56"/>
      <c r="N38" s="56"/>
      <c r="O38" s="56"/>
    </row>
    <row r="39" spans="1:15" ht="30" x14ac:dyDescent="0.25">
      <c r="B39" s="68" t="s">
        <v>183</v>
      </c>
      <c r="C39" s="63"/>
      <c r="D39" s="152">
        <v>0.8</v>
      </c>
      <c r="E39" s="152">
        <v>1</v>
      </c>
      <c r="F39" s="152">
        <v>0.4</v>
      </c>
      <c r="G39" s="152"/>
      <c r="H39" s="152"/>
      <c r="I39" s="336" t="s">
        <v>675</v>
      </c>
      <c r="J39" s="56" t="s">
        <v>202</v>
      </c>
      <c r="K39" s="56" t="s">
        <v>203</v>
      </c>
      <c r="L39" s="56"/>
      <c r="M39" s="56"/>
      <c r="N39" s="56"/>
      <c r="O39" s="56"/>
    </row>
    <row r="40" spans="1:15" x14ac:dyDescent="0.25">
      <c r="B40" s="68" t="s">
        <v>250</v>
      </c>
      <c r="C40" s="63"/>
      <c r="D40" s="152">
        <v>0.5</v>
      </c>
      <c r="E40" s="152">
        <v>0.75</v>
      </c>
      <c r="F40" s="152">
        <v>0.25</v>
      </c>
      <c r="G40" s="152"/>
      <c r="H40" s="152"/>
      <c r="I40" s="336" t="s">
        <v>204</v>
      </c>
      <c r="J40" s="56"/>
      <c r="K40" s="56"/>
      <c r="L40" s="56"/>
      <c r="M40" s="56"/>
      <c r="N40" s="435" t="s">
        <v>236</v>
      </c>
      <c r="O40" s="56"/>
    </row>
    <row r="41" spans="1:15" x14ac:dyDescent="0.25">
      <c r="B41" s="68" t="s">
        <v>178</v>
      </c>
      <c r="C41" s="63"/>
      <c r="D41" s="152">
        <v>0.8</v>
      </c>
      <c r="E41" s="152">
        <v>1</v>
      </c>
      <c r="F41" s="153">
        <f>16.6%*2</f>
        <v>0.33200000000000002</v>
      </c>
      <c r="G41" s="152"/>
      <c r="H41" s="152"/>
      <c r="I41" s="336" t="s">
        <v>684</v>
      </c>
      <c r="J41" s="56" t="s">
        <v>685</v>
      </c>
      <c r="K41" s="56" t="s">
        <v>205</v>
      </c>
      <c r="L41" s="56"/>
      <c r="M41" s="56"/>
      <c r="N41" s="56"/>
      <c r="O41" s="56"/>
    </row>
    <row r="42" spans="1:15" ht="30" x14ac:dyDescent="0.25">
      <c r="B42" s="68" t="s">
        <v>181</v>
      </c>
      <c r="C42" s="63"/>
      <c r="D42" s="153">
        <f>15*0.24*0.01</f>
        <v>3.5999999999999997E-2</v>
      </c>
      <c r="E42" s="153">
        <f>(0.24*15)*0.0075</f>
        <v>2.6999999999999996E-2</v>
      </c>
      <c r="F42" s="153">
        <f>D42*1.5</f>
        <v>5.3999999999999992E-2</v>
      </c>
      <c r="G42" s="152"/>
      <c r="H42" s="152"/>
      <c r="I42" s="336" t="s">
        <v>251</v>
      </c>
      <c r="J42" s="56" t="s">
        <v>207</v>
      </c>
      <c r="K42" s="56" t="s">
        <v>206</v>
      </c>
      <c r="L42" s="56"/>
      <c r="M42" s="56"/>
      <c r="N42" s="56"/>
      <c r="O42" s="56"/>
    </row>
    <row r="43" spans="1:15" x14ac:dyDescent="0.25">
      <c r="B43" s="68" t="s">
        <v>179</v>
      </c>
      <c r="C43" s="63"/>
      <c r="D43" s="58">
        <v>15</v>
      </c>
      <c r="E43" s="56"/>
      <c r="F43" s="56"/>
      <c r="G43" s="56"/>
      <c r="H43" s="56"/>
      <c r="I43" s="336" t="s">
        <v>180</v>
      </c>
      <c r="J43" s="56"/>
      <c r="K43" s="56"/>
      <c r="L43" s="56"/>
      <c r="M43" s="56"/>
      <c r="N43" s="56"/>
      <c r="O43" s="56"/>
    </row>
    <row r="44" spans="1:15" x14ac:dyDescent="0.25">
      <c r="B44" s="68" t="s">
        <v>182</v>
      </c>
      <c r="C44" s="63"/>
      <c r="D44" s="154">
        <v>0.43099999999999999</v>
      </c>
      <c r="E44" s="56"/>
      <c r="F44" s="56"/>
      <c r="G44" s="56"/>
      <c r="H44" s="56"/>
      <c r="I44" s="336" t="s">
        <v>258</v>
      </c>
      <c r="J44" s="56"/>
      <c r="K44" s="56"/>
      <c r="L44" s="56"/>
      <c r="M44" s="56"/>
      <c r="N44" s="56"/>
      <c r="O44" s="56"/>
    </row>
    <row r="45" spans="1:15" x14ac:dyDescent="0.25">
      <c r="B45" s="68"/>
      <c r="C45" s="63"/>
      <c r="D45" s="58"/>
      <c r="E45" s="56"/>
      <c r="F45" s="56"/>
      <c r="G45" s="56"/>
      <c r="H45" s="56"/>
      <c r="I45" s="56"/>
      <c r="J45" s="56"/>
      <c r="K45" s="56"/>
      <c r="L45" s="56"/>
      <c r="M45" s="56"/>
      <c r="N45" s="56"/>
      <c r="O45" s="56"/>
    </row>
    <row r="46" spans="1:15" x14ac:dyDescent="0.25">
      <c r="A46" s="187" t="s">
        <v>38</v>
      </c>
      <c r="B46" s="442"/>
      <c r="C46" s="72"/>
      <c r="D46" s="56"/>
      <c r="E46" s="56"/>
      <c r="F46" s="56"/>
      <c r="G46" s="56"/>
      <c r="H46" s="56"/>
      <c r="I46" s="56"/>
      <c r="J46" s="56"/>
      <c r="K46" s="56"/>
      <c r="L46" s="56"/>
      <c r="M46" s="56"/>
      <c r="N46" s="56"/>
      <c r="O46" s="56"/>
    </row>
    <row r="47" spans="1:15" ht="30" x14ac:dyDescent="0.25">
      <c r="A47" s="190"/>
      <c r="B47" s="68" t="s">
        <v>65</v>
      </c>
      <c r="C47" s="63"/>
      <c r="D47" s="479">
        <f>Bednets!$G$44</f>
        <v>3460.5326115592329</v>
      </c>
      <c r="E47" s="56"/>
      <c r="F47" s="56"/>
      <c r="G47" s="56"/>
      <c r="H47" s="56"/>
      <c r="I47" s="436" t="s">
        <v>407</v>
      </c>
      <c r="J47" s="436"/>
      <c r="K47" s="436"/>
      <c r="L47" s="436"/>
      <c r="M47" s="436"/>
      <c r="N47" s="56"/>
      <c r="O47" s="56"/>
    </row>
    <row r="48" spans="1:15" ht="30" x14ac:dyDescent="0.25">
      <c r="A48" s="190"/>
      <c r="B48" s="68" t="s">
        <v>66</v>
      </c>
      <c r="C48" s="63"/>
      <c r="D48" s="406">
        <f>Bednets!$G$43</f>
        <v>3.8550856953969204</v>
      </c>
      <c r="E48" s="56"/>
      <c r="F48" s="56"/>
      <c r="G48" s="56"/>
      <c r="H48" s="56"/>
      <c r="I48" s="436" t="s">
        <v>407</v>
      </c>
      <c r="J48" s="436"/>
      <c r="K48" s="436"/>
      <c r="L48" s="436"/>
      <c r="M48" s="436"/>
      <c r="N48" s="56"/>
      <c r="O48" s="56"/>
    </row>
    <row r="49" spans="1:17" ht="45" x14ac:dyDescent="0.25">
      <c r="A49" s="190"/>
      <c r="B49" s="68" t="s">
        <v>432</v>
      </c>
      <c r="C49" s="63"/>
      <c r="D49" s="60">
        <v>2</v>
      </c>
      <c r="E49" s="60">
        <v>1</v>
      </c>
      <c r="F49" s="56"/>
      <c r="G49" s="56"/>
      <c r="H49" s="56"/>
      <c r="I49" s="436" t="s">
        <v>686</v>
      </c>
      <c r="J49" s="436" t="s">
        <v>687</v>
      </c>
      <c r="K49" s="436" t="s">
        <v>506</v>
      </c>
      <c r="L49" s="436"/>
      <c r="M49" s="436"/>
      <c r="N49" s="56"/>
      <c r="O49" s="56"/>
    </row>
    <row r="50" spans="1:17" s="275" customFormat="1" x14ac:dyDescent="0.25">
      <c r="A50" s="190"/>
      <c r="B50" s="501" t="s">
        <v>519</v>
      </c>
      <c r="C50" s="500"/>
      <c r="D50" s="60">
        <v>0.86</v>
      </c>
      <c r="E50" s="60">
        <v>1</v>
      </c>
      <c r="F50" s="60">
        <v>0.75</v>
      </c>
      <c r="G50" s="60">
        <v>0.85</v>
      </c>
      <c r="H50" s="56"/>
      <c r="I50" s="436" t="s">
        <v>664</v>
      </c>
      <c r="J50" s="436" t="s">
        <v>667</v>
      </c>
      <c r="K50" s="436" t="s">
        <v>665</v>
      </c>
      <c r="L50" s="436" t="s">
        <v>666</v>
      </c>
      <c r="M50" s="436" t="s">
        <v>506</v>
      </c>
      <c r="N50" s="56" t="s">
        <v>654</v>
      </c>
      <c r="O50" s="56"/>
    </row>
    <row r="51" spans="1:17" x14ac:dyDescent="0.25">
      <c r="B51" s="68" t="s">
        <v>520</v>
      </c>
      <c r="C51" s="63"/>
      <c r="D51" s="59">
        <v>24.16</v>
      </c>
      <c r="E51" s="59">
        <f>AVERAGE(36.46,36.59)</f>
        <v>36.525000000000006</v>
      </c>
      <c r="F51" s="56">
        <v>12</v>
      </c>
      <c r="G51" s="56">
        <v>76.66</v>
      </c>
      <c r="H51" s="56"/>
      <c r="I51" s="54" t="s">
        <v>549</v>
      </c>
      <c r="J51" s="436" t="s">
        <v>548</v>
      </c>
      <c r="K51" s="436" t="s">
        <v>550</v>
      </c>
      <c r="L51" s="436" t="s">
        <v>551</v>
      </c>
      <c r="M51" s="436" t="s">
        <v>506</v>
      </c>
      <c r="N51" s="526" t="s">
        <v>552</v>
      </c>
      <c r="O51" s="56"/>
    </row>
    <row r="52" spans="1:17" s="275" customFormat="1" x14ac:dyDescent="0.25">
      <c r="A52" s="80"/>
      <c r="B52" s="530"/>
      <c r="C52" s="529"/>
      <c r="D52" s="59"/>
      <c r="E52" s="59"/>
      <c r="F52" s="56"/>
      <c r="G52" s="56"/>
      <c r="H52" s="56"/>
      <c r="J52" s="436"/>
      <c r="K52" s="436"/>
      <c r="L52" s="436"/>
      <c r="M52" s="436"/>
      <c r="N52" s="526"/>
      <c r="O52" s="56"/>
    </row>
    <row r="53" spans="1:17" x14ac:dyDescent="0.25">
      <c r="A53" s="187" t="s">
        <v>48</v>
      </c>
      <c r="B53" s="442"/>
      <c r="C53" s="63"/>
      <c r="D53" s="56"/>
      <c r="E53" s="56"/>
      <c r="F53" s="56"/>
      <c r="H53" s="56"/>
      <c r="I53" s="56"/>
      <c r="J53" s="56"/>
      <c r="K53" s="56"/>
      <c r="L53" s="56"/>
      <c r="M53" s="56"/>
      <c r="N53" s="56"/>
      <c r="O53" s="56"/>
    </row>
    <row r="54" spans="1:17" x14ac:dyDescent="0.25">
      <c r="B54" s="68" t="s">
        <v>49</v>
      </c>
      <c r="C54" s="63"/>
      <c r="D54" s="60">
        <v>0.1</v>
      </c>
      <c r="E54" s="60">
        <v>0</v>
      </c>
      <c r="F54" s="60">
        <v>0.19</v>
      </c>
      <c r="G54" s="60">
        <v>0.23</v>
      </c>
      <c r="H54" s="55">
        <f>AVERAGE(D94:E94)</f>
        <v>0.45670833333333333</v>
      </c>
      <c r="I54" s="56" t="s">
        <v>554</v>
      </c>
      <c r="J54" s="56" t="s">
        <v>227</v>
      </c>
      <c r="K54" s="56" t="s">
        <v>228</v>
      </c>
      <c r="L54" s="56" t="s">
        <v>229</v>
      </c>
      <c r="M54" s="56" t="s">
        <v>676</v>
      </c>
      <c r="N54" s="435" t="s">
        <v>158</v>
      </c>
      <c r="O54" s="56"/>
    </row>
    <row r="55" spans="1:17" x14ac:dyDescent="0.25">
      <c r="B55" s="68" t="s">
        <v>88</v>
      </c>
      <c r="C55" s="63"/>
      <c r="D55" s="60">
        <v>0.5</v>
      </c>
      <c r="E55" s="60">
        <v>0.25</v>
      </c>
      <c r="F55" s="60">
        <v>0.75</v>
      </c>
      <c r="G55" s="60"/>
      <c r="I55" s="56" t="s">
        <v>653</v>
      </c>
      <c r="J55" s="56" t="s">
        <v>137</v>
      </c>
      <c r="K55" s="56" t="s">
        <v>138</v>
      </c>
      <c r="N55" s="274" t="s">
        <v>515</v>
      </c>
      <c r="O55" s="56"/>
    </row>
    <row r="56" spans="1:17" x14ac:dyDescent="0.25">
      <c r="B56" s="68" t="s">
        <v>61</v>
      </c>
      <c r="C56" s="63"/>
      <c r="D56" s="58">
        <v>5</v>
      </c>
      <c r="E56" s="56">
        <v>15</v>
      </c>
      <c r="F56" s="58">
        <v>20</v>
      </c>
      <c r="G56" s="58">
        <v>40</v>
      </c>
      <c r="H56" s="58">
        <v>80</v>
      </c>
      <c r="I56" s="56" t="s">
        <v>109</v>
      </c>
      <c r="J56" s="56" t="s">
        <v>222</v>
      </c>
      <c r="K56" s="56" t="s">
        <v>434</v>
      </c>
      <c r="L56" s="56" t="s">
        <v>108</v>
      </c>
      <c r="M56" s="56" t="s">
        <v>230</v>
      </c>
      <c r="N56" s="56"/>
      <c r="O56" s="56"/>
    </row>
    <row r="57" spans="1:17" s="275" customFormat="1" ht="30" x14ac:dyDescent="0.25">
      <c r="A57" s="80"/>
      <c r="B57" s="497" t="s">
        <v>507</v>
      </c>
      <c r="C57" s="496"/>
      <c r="D57" s="60">
        <v>0.25</v>
      </c>
      <c r="E57" s="60">
        <v>0.5</v>
      </c>
      <c r="F57" s="60">
        <v>0</v>
      </c>
      <c r="G57" s="60">
        <v>1</v>
      </c>
      <c r="H57" s="58"/>
      <c r="I57" s="56" t="s">
        <v>511</v>
      </c>
      <c r="J57" s="56" t="s">
        <v>510</v>
      </c>
      <c r="K57" s="56" t="s">
        <v>508</v>
      </c>
      <c r="L57" s="56" t="s">
        <v>509</v>
      </c>
      <c r="M57" s="56"/>
      <c r="N57" s="56"/>
      <c r="O57" s="56"/>
    </row>
    <row r="58" spans="1:17" x14ac:dyDescent="0.25">
      <c r="B58" s="68" t="s">
        <v>19</v>
      </c>
      <c r="C58" s="63"/>
      <c r="D58" s="154">
        <v>0.82799999999999996</v>
      </c>
      <c r="E58" s="60">
        <v>0.75</v>
      </c>
      <c r="G58" s="58"/>
      <c r="H58" s="58"/>
      <c r="I58" s="56" t="s">
        <v>558</v>
      </c>
      <c r="J58" s="56" t="s">
        <v>559</v>
      </c>
      <c r="L58" s="56" t="s">
        <v>506</v>
      </c>
      <c r="M58" s="56"/>
      <c r="N58" s="435" t="s">
        <v>237</v>
      </c>
      <c r="O58" s="56"/>
    </row>
    <row r="59" spans="1:17" ht="30" x14ac:dyDescent="0.25">
      <c r="B59" s="68" t="s">
        <v>64</v>
      </c>
      <c r="C59" s="63"/>
      <c r="D59" s="168">
        <f>D72</f>
        <v>285.92228810603416</v>
      </c>
      <c r="E59" s="56"/>
      <c r="F59" s="56"/>
      <c r="G59" s="56"/>
      <c r="H59" s="446"/>
      <c r="I59" s="56" t="s">
        <v>688</v>
      </c>
      <c r="J59" s="56"/>
      <c r="K59" s="56"/>
      <c r="L59" s="56"/>
      <c r="M59" s="56"/>
      <c r="N59" s="274" t="s">
        <v>515</v>
      </c>
      <c r="O59" s="56"/>
    </row>
    <row r="60" spans="1:17" x14ac:dyDescent="0.25">
      <c r="B60" s="68" t="s">
        <v>17</v>
      </c>
      <c r="C60" s="63"/>
      <c r="D60" s="175">
        <v>1000</v>
      </c>
      <c r="E60" s="56"/>
      <c r="F60" s="56"/>
      <c r="G60" s="56"/>
      <c r="H60" s="56"/>
      <c r="I60" s="447" t="s">
        <v>62</v>
      </c>
      <c r="J60" s="56"/>
      <c r="K60" s="56"/>
      <c r="L60" s="56"/>
      <c r="M60" s="56"/>
      <c r="N60" s="56"/>
      <c r="O60" s="56"/>
    </row>
    <row r="61" spans="1:17" x14ac:dyDescent="0.25">
      <c r="B61" s="68" t="s">
        <v>18</v>
      </c>
      <c r="C61" s="63"/>
      <c r="D61" s="168">
        <f>D60/D62</f>
        <v>212.7659574468085</v>
      </c>
      <c r="E61" s="56"/>
      <c r="F61" s="56"/>
      <c r="G61" s="56"/>
      <c r="H61" s="56"/>
      <c r="I61" s="61" t="s">
        <v>134</v>
      </c>
      <c r="J61" s="56"/>
      <c r="K61" s="56"/>
      <c r="L61" s="56"/>
      <c r="M61" s="56"/>
      <c r="N61" s="447"/>
      <c r="O61" s="56"/>
    </row>
    <row r="62" spans="1:17" x14ac:dyDescent="0.25">
      <c r="B62" s="68" t="s">
        <v>63</v>
      </c>
      <c r="C62" s="63"/>
      <c r="D62" s="56">
        <v>4.7</v>
      </c>
      <c r="E62" s="56"/>
      <c r="F62" s="56"/>
      <c r="G62" s="56"/>
      <c r="H62" s="56"/>
      <c r="I62" s="61" t="s">
        <v>284</v>
      </c>
      <c r="J62" s="56"/>
      <c r="K62" s="56"/>
      <c r="L62" s="56"/>
      <c r="M62" s="56"/>
      <c r="N62" s="447" t="s">
        <v>285</v>
      </c>
      <c r="O62" s="56"/>
    </row>
    <row r="63" spans="1:17" x14ac:dyDescent="0.25">
      <c r="B63" s="68"/>
      <c r="C63" s="63"/>
      <c r="D63" s="168"/>
      <c r="E63" s="56"/>
      <c r="F63" s="56"/>
      <c r="G63" s="56"/>
      <c r="H63" s="56"/>
      <c r="I63" s="445"/>
      <c r="J63" s="56"/>
      <c r="K63" s="56"/>
      <c r="L63" s="56"/>
      <c r="M63" s="56"/>
      <c r="N63" s="56"/>
      <c r="O63" s="56"/>
    </row>
    <row r="64" spans="1:17" x14ac:dyDescent="0.25">
      <c r="B64" s="68" t="s">
        <v>67</v>
      </c>
      <c r="C64" s="63"/>
      <c r="D64" s="175">
        <v>1085</v>
      </c>
      <c r="E64" s="56"/>
      <c r="F64" s="56"/>
      <c r="G64" s="56"/>
      <c r="H64" s="56"/>
      <c r="I64" s="759" t="s">
        <v>513</v>
      </c>
      <c r="J64" s="759"/>
      <c r="K64" s="759"/>
      <c r="L64" s="759"/>
      <c r="M64" s="759"/>
      <c r="N64" s="759"/>
      <c r="O64" s="759"/>
      <c r="P64" s="759"/>
      <c r="Q64" s="759"/>
    </row>
    <row r="65" spans="1:17" x14ac:dyDescent="0.25">
      <c r="B65" s="68" t="s">
        <v>68</v>
      </c>
      <c r="C65" s="63"/>
      <c r="D65" s="175">
        <v>287</v>
      </c>
      <c r="E65" s="56"/>
      <c r="F65" s="56"/>
      <c r="G65" s="56"/>
      <c r="H65" s="56"/>
      <c r="I65" s="759"/>
      <c r="J65" s="759"/>
      <c r="K65" s="759"/>
      <c r="L65" s="759"/>
      <c r="M65" s="759"/>
      <c r="N65" s="759"/>
      <c r="O65" s="759"/>
      <c r="P65" s="759"/>
      <c r="Q65" s="759"/>
    </row>
    <row r="66" spans="1:17" x14ac:dyDescent="0.25">
      <c r="B66" s="68" t="s">
        <v>69</v>
      </c>
      <c r="C66" s="63"/>
      <c r="D66" s="56">
        <f>1525/D64</f>
        <v>1.4055299539170507</v>
      </c>
      <c r="E66" s="56" t="s">
        <v>99</v>
      </c>
      <c r="F66" s="56"/>
      <c r="G66" s="56"/>
      <c r="H66" s="56"/>
      <c r="I66" s="759"/>
      <c r="J66" s="759"/>
      <c r="K66" s="759"/>
      <c r="L66" s="759"/>
      <c r="M66" s="759"/>
      <c r="N66" s="759"/>
      <c r="O66" s="759"/>
      <c r="P66" s="759"/>
      <c r="Q66" s="759"/>
    </row>
    <row r="67" spans="1:17" x14ac:dyDescent="0.25">
      <c r="B67" s="68" t="s">
        <v>70</v>
      </c>
      <c r="C67" s="63"/>
      <c r="D67" s="175">
        <v>137</v>
      </c>
      <c r="E67" s="56"/>
      <c r="F67" s="56"/>
      <c r="G67" s="56"/>
      <c r="H67" s="56"/>
      <c r="I67" s="759"/>
      <c r="J67" s="759"/>
      <c r="K67" s="759"/>
      <c r="L67" s="759"/>
      <c r="M67" s="759"/>
      <c r="N67" s="759"/>
      <c r="O67" s="759"/>
      <c r="P67" s="759"/>
      <c r="Q67" s="759"/>
    </row>
    <row r="68" spans="1:17" x14ac:dyDescent="0.25">
      <c r="B68" s="68" t="s">
        <v>71</v>
      </c>
      <c r="C68" s="63"/>
      <c r="D68" s="175">
        <v>348</v>
      </c>
      <c r="E68" s="56"/>
      <c r="F68" s="56"/>
      <c r="G68" s="56"/>
      <c r="H68" s="56"/>
      <c r="I68" s="759"/>
      <c r="J68" s="759"/>
      <c r="K68" s="759"/>
      <c r="L68" s="759"/>
      <c r="M68" s="759"/>
      <c r="N68" s="759"/>
      <c r="O68" s="759"/>
      <c r="P68" s="759"/>
      <c r="Q68" s="759"/>
    </row>
    <row r="69" spans="1:17" x14ac:dyDescent="0.25">
      <c r="A69" s="81"/>
      <c r="B69" s="448" t="s">
        <v>100</v>
      </c>
      <c r="C69" s="63"/>
      <c r="D69" s="168">
        <v>157.4</v>
      </c>
      <c r="E69" s="56"/>
      <c r="F69" s="56"/>
      <c r="G69" s="56"/>
      <c r="H69" s="56"/>
      <c r="I69" s="759"/>
      <c r="J69" s="759"/>
      <c r="K69" s="759"/>
      <c r="L69" s="759"/>
      <c r="M69" s="759"/>
      <c r="N69" s="759"/>
      <c r="O69" s="759"/>
      <c r="P69" s="759"/>
      <c r="Q69" s="759"/>
    </row>
    <row r="70" spans="1:17" x14ac:dyDescent="0.25">
      <c r="B70" s="190" t="s">
        <v>101</v>
      </c>
      <c r="C70" s="63"/>
      <c r="D70" s="168">
        <f>D69/D66</f>
        <v>111.98622950819673</v>
      </c>
      <c r="E70" s="56"/>
      <c r="F70" s="56"/>
      <c r="G70" s="56"/>
      <c r="H70" s="56"/>
      <c r="I70" s="759"/>
      <c r="J70" s="759"/>
      <c r="K70" s="759"/>
      <c r="L70" s="759"/>
      <c r="M70" s="759"/>
      <c r="N70" s="759"/>
      <c r="O70" s="759"/>
      <c r="P70" s="759"/>
      <c r="Q70" s="759"/>
    </row>
    <row r="71" spans="1:17" x14ac:dyDescent="0.25">
      <c r="B71" s="190" t="s">
        <v>75</v>
      </c>
      <c r="C71" s="63"/>
      <c r="D71" s="168">
        <f>D70/D62</f>
        <v>23.826857342169514</v>
      </c>
      <c r="E71" s="56"/>
      <c r="F71" s="56"/>
      <c r="G71" s="56"/>
      <c r="H71" s="56"/>
      <c r="I71" s="759"/>
      <c r="J71" s="759"/>
      <c r="K71" s="759"/>
      <c r="L71" s="759"/>
      <c r="M71" s="759"/>
      <c r="N71" s="759"/>
      <c r="O71" s="759"/>
      <c r="P71" s="759"/>
      <c r="Q71" s="759"/>
    </row>
    <row r="72" spans="1:17" x14ac:dyDescent="0.25">
      <c r="B72" s="190" t="s">
        <v>76</v>
      </c>
      <c r="C72" s="63"/>
      <c r="D72" s="168">
        <f>D71*12</f>
        <v>285.92228810603416</v>
      </c>
      <c r="E72" s="56"/>
      <c r="F72" s="56"/>
      <c r="G72" s="56"/>
      <c r="H72" s="56"/>
      <c r="I72" s="759"/>
      <c r="J72" s="759"/>
      <c r="K72" s="759"/>
      <c r="L72" s="759"/>
      <c r="M72" s="759"/>
      <c r="N72" s="759"/>
      <c r="O72" s="759"/>
      <c r="P72" s="759"/>
      <c r="Q72" s="759"/>
    </row>
    <row r="73" spans="1:17" x14ac:dyDescent="0.25">
      <c r="B73" s="68" t="s">
        <v>72</v>
      </c>
      <c r="C73" s="63"/>
      <c r="D73" s="168">
        <f>(D67*D64+D68*D65)/SUM(D67:D68)</f>
        <v>512.41443298969068</v>
      </c>
      <c r="E73" s="56"/>
      <c r="F73" s="56"/>
      <c r="G73" s="56"/>
      <c r="H73" s="56"/>
      <c r="I73" s="759"/>
      <c r="J73" s="759"/>
      <c r="K73" s="759"/>
      <c r="L73" s="759"/>
      <c r="M73" s="759"/>
      <c r="N73" s="759"/>
      <c r="O73" s="759"/>
      <c r="P73" s="759"/>
      <c r="Q73" s="759"/>
    </row>
    <row r="74" spans="1:17" x14ac:dyDescent="0.25">
      <c r="B74" s="68" t="s">
        <v>73</v>
      </c>
      <c r="C74" s="63"/>
      <c r="D74" s="168">
        <f>D73*D66</f>
        <v>720.21383438643159</v>
      </c>
      <c r="E74" s="56"/>
      <c r="F74" s="56"/>
      <c r="G74" s="56"/>
      <c r="H74" s="56"/>
      <c r="I74" s="759"/>
      <c r="J74" s="759"/>
      <c r="K74" s="759"/>
      <c r="L74" s="759"/>
      <c r="M74" s="759"/>
      <c r="N74" s="759"/>
      <c r="O74" s="759"/>
      <c r="P74" s="759"/>
      <c r="Q74" s="759"/>
    </row>
    <row r="75" spans="1:17" x14ac:dyDescent="0.25">
      <c r="B75" s="68"/>
      <c r="C75" s="63"/>
      <c r="D75" s="56"/>
      <c r="E75" s="56"/>
      <c r="F75" s="56"/>
      <c r="G75" s="56"/>
      <c r="H75" s="56"/>
      <c r="I75" s="56"/>
      <c r="J75" s="56"/>
      <c r="K75" s="56"/>
      <c r="L75" s="56"/>
      <c r="M75" s="56"/>
      <c r="N75" s="56"/>
      <c r="O75" s="56"/>
    </row>
    <row r="76" spans="1:17" x14ac:dyDescent="0.25">
      <c r="B76" s="68" t="s">
        <v>130</v>
      </c>
      <c r="C76" s="63"/>
      <c r="D76" s="168">
        <v>278.52</v>
      </c>
      <c r="E76" s="56"/>
      <c r="F76" s="56"/>
      <c r="G76" s="56"/>
      <c r="H76" s="446"/>
      <c r="I76" s="759" t="s">
        <v>514</v>
      </c>
      <c r="J76" s="759"/>
      <c r="K76" s="759"/>
      <c r="L76" s="759"/>
      <c r="M76" s="759"/>
      <c r="N76" s="759"/>
      <c r="O76" s="759"/>
      <c r="P76" s="759"/>
      <c r="Q76" s="759"/>
    </row>
    <row r="77" spans="1:17" x14ac:dyDescent="0.25">
      <c r="B77" s="190" t="s">
        <v>131</v>
      </c>
      <c r="C77" s="63"/>
      <c r="D77" s="168">
        <v>36.18</v>
      </c>
      <c r="E77" s="56"/>
      <c r="F77" s="56"/>
      <c r="G77" s="56"/>
      <c r="H77" s="56"/>
      <c r="I77" s="759"/>
      <c r="J77" s="759"/>
      <c r="K77" s="759"/>
      <c r="L77" s="759"/>
      <c r="M77" s="759"/>
      <c r="N77" s="759"/>
      <c r="O77" s="759"/>
      <c r="P77" s="759"/>
      <c r="Q77" s="759"/>
    </row>
    <row r="78" spans="1:17" x14ac:dyDescent="0.25">
      <c r="B78" s="190"/>
      <c r="C78" s="63"/>
      <c r="D78" s="56"/>
      <c r="E78" s="56"/>
      <c r="F78" s="56"/>
      <c r="G78" s="56"/>
      <c r="H78" s="56"/>
      <c r="I78" s="189"/>
      <c r="J78" s="189"/>
      <c r="K78" s="189"/>
      <c r="L78" s="189"/>
      <c r="M78" s="189"/>
      <c r="N78" s="189"/>
      <c r="O78" s="189"/>
    </row>
    <row r="79" spans="1:17" ht="14.1" customHeight="1" x14ac:dyDescent="0.25">
      <c r="B79" s="68" t="s">
        <v>74</v>
      </c>
      <c r="C79" s="63"/>
      <c r="D79" s="175">
        <v>564</v>
      </c>
      <c r="E79" s="56"/>
      <c r="F79" s="56"/>
      <c r="G79" s="56"/>
      <c r="H79" s="56"/>
      <c r="I79" s="760" t="s">
        <v>515</v>
      </c>
      <c r="J79" s="760"/>
      <c r="K79" s="760"/>
      <c r="L79" s="760"/>
      <c r="M79" s="760"/>
      <c r="N79" s="760"/>
      <c r="O79" s="760"/>
      <c r="P79" s="760"/>
    </row>
    <row r="80" spans="1:17" ht="30" x14ac:dyDescent="0.25">
      <c r="B80" s="68" t="s">
        <v>156</v>
      </c>
      <c r="C80" s="63"/>
      <c r="D80" s="175">
        <v>107</v>
      </c>
      <c r="E80" s="56"/>
      <c r="F80" s="56"/>
      <c r="G80" s="56"/>
      <c r="H80" s="56"/>
      <c r="I80" s="760"/>
      <c r="J80" s="760"/>
      <c r="K80" s="760"/>
      <c r="L80" s="760"/>
      <c r="M80" s="760"/>
      <c r="N80" s="760"/>
      <c r="O80" s="760"/>
      <c r="P80" s="760"/>
    </row>
    <row r="81" spans="1:16" x14ac:dyDescent="0.25">
      <c r="B81" s="68" t="s">
        <v>135</v>
      </c>
      <c r="C81" s="63"/>
      <c r="D81" s="60">
        <v>0.23</v>
      </c>
      <c r="E81" s="56"/>
      <c r="F81" s="56"/>
      <c r="G81" s="56"/>
      <c r="H81" s="56"/>
      <c r="I81" s="760"/>
      <c r="J81" s="760"/>
      <c r="K81" s="760"/>
      <c r="L81" s="760"/>
      <c r="M81" s="760"/>
      <c r="N81" s="760"/>
      <c r="O81" s="760"/>
      <c r="P81" s="760"/>
    </row>
    <row r="82" spans="1:16" x14ac:dyDescent="0.25">
      <c r="B82" s="68"/>
      <c r="C82" s="63"/>
      <c r="D82" s="60"/>
      <c r="E82" s="56"/>
      <c r="F82" s="56"/>
      <c r="G82" s="56"/>
      <c r="H82" s="56"/>
      <c r="I82" s="56"/>
      <c r="J82" s="56"/>
      <c r="K82" s="56"/>
      <c r="L82" s="56"/>
      <c r="M82" s="56"/>
      <c r="N82" s="56"/>
      <c r="O82" s="56"/>
    </row>
    <row r="83" spans="1:16" ht="30" x14ac:dyDescent="0.25">
      <c r="B83" s="68" t="s">
        <v>132</v>
      </c>
      <c r="C83" s="63"/>
      <c r="D83" s="55">
        <f>RATE(20,-D80,D79)</f>
        <v>0.18315022118846105</v>
      </c>
      <c r="E83" s="60"/>
      <c r="F83" s="56"/>
      <c r="G83" s="56"/>
      <c r="H83" s="56"/>
      <c r="I83" s="56" t="s">
        <v>134</v>
      </c>
      <c r="J83" s="56"/>
      <c r="K83" s="56"/>
      <c r="L83" s="56"/>
      <c r="M83" s="56"/>
      <c r="N83" s="56"/>
      <c r="O83" s="56"/>
    </row>
    <row r="84" spans="1:16" x14ac:dyDescent="0.25">
      <c r="B84" s="68" t="s">
        <v>133</v>
      </c>
      <c r="C84" s="63"/>
      <c r="D84" s="55">
        <f>D80/D79</f>
        <v>0.18971631205673758</v>
      </c>
      <c r="E84" s="56"/>
      <c r="F84" s="56"/>
      <c r="G84" s="56"/>
      <c r="H84" s="56"/>
      <c r="I84" s="56" t="s">
        <v>134</v>
      </c>
      <c r="J84" s="56"/>
      <c r="K84" s="56"/>
      <c r="L84" s="56"/>
      <c r="M84" s="56"/>
      <c r="N84" s="56"/>
      <c r="O84" s="56"/>
    </row>
    <row r="85" spans="1:16" x14ac:dyDescent="0.25">
      <c r="B85" s="68"/>
      <c r="C85" s="63"/>
      <c r="D85" s="60"/>
      <c r="E85" s="56"/>
      <c r="F85" s="56"/>
      <c r="G85" s="56"/>
      <c r="H85" s="56"/>
      <c r="I85" s="56"/>
      <c r="J85" s="56"/>
      <c r="K85" s="56"/>
      <c r="L85" s="56"/>
      <c r="M85" s="56"/>
      <c r="N85" s="56"/>
      <c r="O85" s="56"/>
    </row>
    <row r="86" spans="1:16" ht="30" x14ac:dyDescent="0.25">
      <c r="A86" s="187"/>
      <c r="B86" s="442" t="s">
        <v>102</v>
      </c>
      <c r="C86" s="63"/>
      <c r="D86" s="55" t="s">
        <v>77</v>
      </c>
      <c r="E86" s="55" t="s">
        <v>78</v>
      </c>
      <c r="F86" s="56"/>
      <c r="G86" s="56"/>
      <c r="H86" s="66"/>
      <c r="I86" s="66" t="s">
        <v>103</v>
      </c>
      <c r="J86" s="435" t="s">
        <v>79</v>
      </c>
      <c r="K86" s="56"/>
      <c r="L86" s="56"/>
      <c r="M86" s="56"/>
      <c r="N86" s="56"/>
      <c r="O86" s="56"/>
    </row>
    <row r="87" spans="1:16" ht="30" x14ac:dyDescent="0.25">
      <c r="A87" s="193"/>
      <c r="B87" s="449" t="s">
        <v>80</v>
      </c>
      <c r="C87" s="63"/>
      <c r="D87" s="55">
        <v>0.35</v>
      </c>
      <c r="E87" s="55">
        <v>0.73799999999999999</v>
      </c>
      <c r="F87" s="56"/>
      <c r="G87" s="56"/>
      <c r="H87" s="66"/>
      <c r="I87" s="66" t="s">
        <v>104</v>
      </c>
      <c r="J87" s="435" t="s">
        <v>503</v>
      </c>
      <c r="K87" s="56"/>
      <c r="L87" s="56"/>
      <c r="M87" s="56"/>
      <c r="N87" s="56"/>
      <c r="O87" s="56"/>
    </row>
    <row r="88" spans="1:16" x14ac:dyDescent="0.25">
      <c r="A88" s="193"/>
      <c r="B88" s="449" t="s">
        <v>81</v>
      </c>
      <c r="C88" s="63"/>
      <c r="D88" s="55">
        <f>6%*12/2</f>
        <v>0.36</v>
      </c>
      <c r="E88" s="55">
        <f>12%*12/2</f>
        <v>0.72</v>
      </c>
      <c r="F88" s="56"/>
      <c r="G88" s="56"/>
      <c r="H88" s="56"/>
      <c r="I88" s="56" t="s">
        <v>106</v>
      </c>
      <c r="J88" s="56"/>
      <c r="K88" s="56"/>
      <c r="L88" s="56"/>
      <c r="M88" s="56"/>
      <c r="N88" s="56"/>
      <c r="O88" s="56"/>
    </row>
    <row r="89" spans="1:16" x14ac:dyDescent="0.25">
      <c r="A89" s="193"/>
      <c r="B89" s="449" t="s">
        <v>82</v>
      </c>
      <c r="C89" s="63"/>
      <c r="D89" s="55">
        <v>0</v>
      </c>
      <c r="E89" s="55">
        <v>0</v>
      </c>
      <c r="F89" s="56"/>
      <c r="G89" s="56"/>
      <c r="H89" s="56"/>
      <c r="I89" s="56" t="s">
        <v>83</v>
      </c>
      <c r="J89" s="56"/>
      <c r="K89" s="56"/>
      <c r="L89" s="56"/>
      <c r="M89" s="56"/>
      <c r="N89" s="56"/>
      <c r="O89" s="56"/>
    </row>
    <row r="90" spans="1:16" x14ac:dyDescent="0.25">
      <c r="A90" s="193"/>
      <c r="B90" s="449" t="s">
        <v>84</v>
      </c>
      <c r="C90" s="63"/>
      <c r="D90" s="55">
        <f>28.8%*12</f>
        <v>3.4560000000000004</v>
      </c>
      <c r="E90" s="55">
        <f>45.6%*12</f>
        <v>5.4720000000000004</v>
      </c>
      <c r="F90" s="56"/>
      <c r="G90" s="56"/>
      <c r="H90" s="56"/>
      <c r="I90" s="56" t="s">
        <v>107</v>
      </c>
      <c r="J90" s="56"/>
      <c r="K90" s="56"/>
      <c r="L90" s="56"/>
      <c r="M90" s="56"/>
      <c r="N90" s="56"/>
      <c r="O90" s="56"/>
    </row>
    <row r="91" spans="1:16" x14ac:dyDescent="0.25">
      <c r="A91" s="193"/>
      <c r="B91" s="449" t="s">
        <v>85</v>
      </c>
      <c r="C91" s="63"/>
      <c r="D91" s="55">
        <v>0.3</v>
      </c>
      <c r="E91" s="55">
        <v>0.49</v>
      </c>
      <c r="F91" s="56"/>
      <c r="G91" s="56"/>
      <c r="H91" s="56"/>
      <c r="I91" s="56"/>
      <c r="J91" s="56"/>
      <c r="K91" s="56"/>
      <c r="L91" s="56"/>
      <c r="M91" s="56"/>
      <c r="N91" s="56"/>
      <c r="O91" s="56"/>
    </row>
    <row r="92" spans="1:16" x14ac:dyDescent="0.25">
      <c r="A92" s="193"/>
      <c r="B92" s="449" t="s">
        <v>86</v>
      </c>
      <c r="C92" s="63"/>
      <c r="D92" s="55"/>
      <c r="E92" s="55">
        <v>0.35899999999999999</v>
      </c>
      <c r="F92" s="56"/>
      <c r="G92" s="56"/>
      <c r="H92" s="56"/>
      <c r="I92" s="56"/>
      <c r="J92" s="56"/>
      <c r="K92" s="56"/>
      <c r="L92" s="56"/>
      <c r="M92" s="56"/>
      <c r="N92" s="56"/>
      <c r="O92" s="56"/>
    </row>
    <row r="93" spans="1:16" x14ac:dyDescent="0.25">
      <c r="B93" s="68"/>
      <c r="C93" s="63"/>
      <c r="D93" s="55"/>
      <c r="E93" s="55"/>
      <c r="F93" s="56"/>
      <c r="G93" s="56"/>
      <c r="H93" s="56"/>
      <c r="I93" s="56"/>
      <c r="J93" s="56"/>
      <c r="K93" s="56"/>
      <c r="L93" s="56"/>
      <c r="M93" s="56"/>
      <c r="N93" s="56"/>
      <c r="O93" s="56"/>
    </row>
    <row r="94" spans="1:16" x14ac:dyDescent="0.25">
      <c r="A94" s="193"/>
      <c r="B94" s="449" t="s">
        <v>87</v>
      </c>
      <c r="C94" s="63"/>
      <c r="D94" s="55">
        <f>(D87+D88+D91)/3</f>
        <v>0.33666666666666667</v>
      </c>
      <c r="E94" s="55">
        <f>(E87+E88+E91+E92)/4</f>
        <v>0.57674999999999998</v>
      </c>
      <c r="F94" s="56"/>
      <c r="G94" s="55"/>
      <c r="H94" s="56"/>
      <c r="I94" s="56" t="s">
        <v>105</v>
      </c>
      <c r="J94" s="56"/>
      <c r="K94" s="56"/>
      <c r="L94" s="56"/>
      <c r="M94" s="56"/>
      <c r="N94" s="56"/>
      <c r="O94" s="56"/>
    </row>
  </sheetData>
  <mergeCells count="7">
    <mergeCell ref="I76:Q77"/>
    <mergeCell ref="I79:P81"/>
    <mergeCell ref="D1:H1"/>
    <mergeCell ref="I1:M1"/>
    <mergeCell ref="I22:M22"/>
    <mergeCell ref="I8:M8"/>
    <mergeCell ref="I64:Q74"/>
  </mergeCells>
  <hyperlinks>
    <hyperlink ref="J86" r:id="rId1" location="Whatreturnoninvestmentdocashtransferrecipientsearn"/>
    <hyperlink ref="J87" r:id="rId2"/>
    <hyperlink ref="I64" r:id="rId3" display="http://www.princeton.edu/~joha/publications/Haushofer_Shapiro_Policy_Brief_2013.pdf"/>
    <hyperlink ref="I76" r:id="rId4"/>
    <hyperlink ref="N54" r:id="rId5" location="Whatreturnoninvestmentdocashtransferrecipientsearn"/>
    <hyperlink ref="N12" r:id="rId6" location="Whatdoyougetforyourdollar"/>
    <hyperlink ref="N58" r:id="rId7" location="CashRatios"/>
    <hyperlink ref="N5" r:id="rId8" location="Externalvalidity"/>
    <hyperlink ref="N40" r:id="rId9"/>
    <hyperlink ref="N19" r:id="rId10" location="Whatisthecostpertreatment"/>
    <hyperlink ref="N22" r:id="rId11" location="comparison"/>
    <hyperlink ref="J7" r:id="rId12" display="Lower end of Ioannidis's theoretical replicability (Table 4 in http://www.plosmedicine.org/article/info:doi/10.1371/journal.pmed.0020124)"/>
    <hyperlink ref="K7" r:id="rId13" display="Lower end of Ioannidis's theoretical replicability (Table 4 in http://www.plosmedicine.org/article/info:doi/10.1371/journal.pmed.0020124)"/>
    <hyperlink ref="N23" r:id="rId14" location="leverage"/>
    <hyperlink ref="N36" r:id="rId15" location="Improvingmentalfunction"/>
    <hyperlink ref="N37" r:id="rId16" location="Improvingmentalfunction"/>
    <hyperlink ref="I79" r:id="rId17" display="http://www.princeton.edu/~joha/publications/Haushofer_Shapiro_UCT_2013.pdf"/>
    <hyperlink ref="I44" r:id="rId18" display="http://data.worldbank.org/indicator/SP.POP.0014.TO.ZS/countries/SSA?display=graph"/>
    <hyperlink ref="I60" r:id="rId19"/>
    <hyperlink ref="N55" r:id="rId20"/>
    <hyperlink ref="N59" r:id="rId21"/>
    <hyperlink ref="O12" r:id="rId22"/>
  </hyperlinks>
  <pageMargins left="0.7" right="0.7" top="0.75" bottom="0.75" header="0.3" footer="0.3"/>
  <pageSetup orientation="portrait"/>
  <legacyDrawing r:id="rId2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49"/>
  <sheetViews>
    <sheetView workbookViewId="0">
      <pane xSplit="1" ySplit="2" topLeftCell="B3" activePane="bottomRight" state="frozen"/>
      <selection pane="topRight" activeCell="B1" sqref="B1"/>
      <selection pane="bottomLeft" activeCell="A3" sqref="A3"/>
      <selection pane="bottomRight"/>
    </sheetView>
  </sheetViews>
  <sheetFormatPr defaultColWidth="8.85546875" defaultRowHeight="15" x14ac:dyDescent="0.25"/>
  <cols>
    <col min="1" max="1" width="65.42578125" customWidth="1"/>
    <col min="2" max="2" width="30.42578125" customWidth="1"/>
    <col min="3" max="3" width="24.140625" customWidth="1"/>
  </cols>
  <sheetData>
    <row r="2" spans="1:3" x14ac:dyDescent="0.25">
      <c r="A2" s="171" t="s">
        <v>140</v>
      </c>
      <c r="B2" s="171" t="s">
        <v>460</v>
      </c>
      <c r="C2" s="171" t="s">
        <v>47</v>
      </c>
    </row>
    <row r="3" spans="1:3" s="231" customFormat="1" x14ac:dyDescent="0.25">
      <c r="A3" s="231" t="s">
        <v>461</v>
      </c>
      <c r="B3" s="274" t="s">
        <v>465</v>
      </c>
      <c r="C3" s="171"/>
    </row>
    <row r="4" spans="1:3" s="231" customFormat="1" x14ac:dyDescent="0.25">
      <c r="A4" s="231" t="s">
        <v>462</v>
      </c>
      <c r="B4" s="274" t="s">
        <v>62</v>
      </c>
      <c r="C4" s="171"/>
    </row>
    <row r="5" spans="1:3" s="231" customFormat="1" x14ac:dyDescent="0.25">
      <c r="A5" s="231" t="s">
        <v>463</v>
      </c>
      <c r="B5" s="274" t="s">
        <v>466</v>
      </c>
      <c r="C5" s="171"/>
    </row>
    <row r="6" spans="1:3" s="231" customFormat="1" x14ac:dyDescent="0.25">
      <c r="A6" s="231" t="s">
        <v>464</v>
      </c>
      <c r="B6" s="274" t="s">
        <v>467</v>
      </c>
      <c r="C6" s="171"/>
    </row>
    <row r="7" spans="1:3" s="231" customFormat="1" x14ac:dyDescent="0.25">
      <c r="C7" s="171"/>
    </row>
    <row r="8" spans="1:3" ht="14.45" customHeight="1" x14ac:dyDescent="0.25">
      <c r="A8" t="s">
        <v>93</v>
      </c>
      <c r="B8" s="169" t="s">
        <v>92</v>
      </c>
    </row>
    <row r="9" spans="1:3" ht="14.45" customHeight="1" x14ac:dyDescent="0.25">
      <c r="A9" t="s">
        <v>149</v>
      </c>
      <c r="B9" s="169" t="s">
        <v>151</v>
      </c>
    </row>
    <row r="10" spans="1:3" ht="14.45" customHeight="1" x14ac:dyDescent="0.25">
      <c r="B10" s="169"/>
    </row>
    <row r="11" spans="1:3" x14ac:dyDescent="0.25">
      <c r="A11" t="s">
        <v>405</v>
      </c>
      <c r="B11" t="s">
        <v>160</v>
      </c>
    </row>
    <row r="12" spans="1:3" s="231" customFormat="1" ht="14.45" customHeight="1" x14ac:dyDescent="0.25">
      <c r="A12" s="231" t="s">
        <v>488</v>
      </c>
      <c r="B12" s="169" t="s">
        <v>489</v>
      </c>
      <c r="C12" s="476" t="s">
        <v>490</v>
      </c>
    </row>
    <row r="13" spans="1:3" s="231" customFormat="1" x14ac:dyDescent="0.25">
      <c r="A13" s="231" t="s">
        <v>406</v>
      </c>
      <c r="B13" s="231" t="s">
        <v>160</v>
      </c>
      <c r="C13" s="274" t="s">
        <v>487</v>
      </c>
    </row>
    <row r="14" spans="1:3" ht="14.45" customHeight="1" x14ac:dyDescent="0.25">
      <c r="A14" t="s">
        <v>124</v>
      </c>
      <c r="B14" s="169" t="s">
        <v>163</v>
      </c>
      <c r="C14" s="170" t="s">
        <v>162</v>
      </c>
    </row>
    <row r="15" spans="1:3" s="231" customFormat="1" ht="14.45" customHeight="1" x14ac:dyDescent="0.25">
      <c r="A15" s="231" t="s">
        <v>478</v>
      </c>
      <c r="B15" s="169" t="s">
        <v>479</v>
      </c>
      <c r="C15" s="170"/>
    </row>
    <row r="16" spans="1:3" s="231" customFormat="1" ht="14.45" customHeight="1" x14ac:dyDescent="0.25">
      <c r="A16" s="231" t="s">
        <v>481</v>
      </c>
      <c r="B16" s="274" t="s">
        <v>486</v>
      </c>
      <c r="C16" s="170"/>
    </row>
    <row r="17" spans="1:3" ht="14.45" customHeight="1" x14ac:dyDescent="0.25">
      <c r="A17" t="s">
        <v>476</v>
      </c>
      <c r="B17" s="169" t="s">
        <v>473</v>
      </c>
      <c r="C17" s="170"/>
    </row>
    <row r="18" spans="1:3" s="231" customFormat="1" ht="14.45" customHeight="1" x14ac:dyDescent="0.25">
      <c r="A18" s="231" t="s">
        <v>482</v>
      </c>
      <c r="B18" s="169" t="s">
        <v>483</v>
      </c>
      <c r="C18" s="170"/>
    </row>
    <row r="19" spans="1:3" s="231" customFormat="1" ht="14.45" customHeight="1" x14ac:dyDescent="0.25">
      <c r="A19" s="231" t="s">
        <v>474</v>
      </c>
      <c r="B19" s="169" t="s">
        <v>477</v>
      </c>
      <c r="C19" s="170"/>
    </row>
    <row r="20" spans="1:3" s="231" customFormat="1" ht="14.45" customHeight="1" x14ac:dyDescent="0.25">
      <c r="A20" s="231" t="s">
        <v>655</v>
      </c>
      <c r="B20" s="231" t="s">
        <v>160</v>
      </c>
      <c r="C20" s="170"/>
    </row>
    <row r="21" spans="1:3" s="231" customFormat="1" ht="14.45" customHeight="1" x14ac:dyDescent="0.25">
      <c r="B21" s="169"/>
      <c r="C21" s="170"/>
    </row>
    <row r="22" spans="1:3" ht="14.45" customHeight="1" x14ac:dyDescent="0.25">
      <c r="A22" t="s">
        <v>310</v>
      </c>
      <c r="B22" s="274" t="s">
        <v>651</v>
      </c>
      <c r="C22" s="170" t="s">
        <v>506</v>
      </c>
    </row>
    <row r="23" spans="1:3" ht="14.45" customHeight="1" x14ac:dyDescent="0.25">
      <c r="A23" t="s">
        <v>150</v>
      </c>
      <c r="B23" s="169" t="s">
        <v>89</v>
      </c>
    </row>
    <row r="24" spans="1:3" s="231" customFormat="1" ht="14.45" customHeight="1" x14ac:dyDescent="0.25">
      <c r="A24" s="231" t="s">
        <v>682</v>
      </c>
      <c r="B24" s="169" t="s">
        <v>683</v>
      </c>
    </row>
    <row r="25" spans="1:3" ht="14.45" customHeight="1" x14ac:dyDescent="0.25">
      <c r="A25" s="54" t="s">
        <v>210</v>
      </c>
      <c r="B25" s="169" t="s">
        <v>211</v>
      </c>
    </row>
    <row r="26" spans="1:3" ht="14.45" customHeight="1" x14ac:dyDescent="0.25">
      <c r="A26" t="s">
        <v>90</v>
      </c>
      <c r="B26" s="169" t="s">
        <v>53</v>
      </c>
    </row>
    <row r="27" spans="1:3" ht="14.45" customHeight="1" x14ac:dyDescent="0.25">
      <c r="A27" t="s">
        <v>161</v>
      </c>
      <c r="B27" s="170" t="s">
        <v>160</v>
      </c>
    </row>
    <row r="28" spans="1:3" ht="14.45" customHeight="1" x14ac:dyDescent="0.25">
      <c r="A28" t="s">
        <v>493</v>
      </c>
      <c r="B28" s="170" t="s">
        <v>160</v>
      </c>
    </row>
    <row r="29" spans="1:3" ht="14.45" customHeight="1" x14ac:dyDescent="0.25">
      <c r="A29" t="s">
        <v>231</v>
      </c>
      <c r="B29" s="170" t="s">
        <v>160</v>
      </c>
    </row>
    <row r="30" spans="1:3" ht="14.45" customHeight="1" x14ac:dyDescent="0.25">
      <c r="A30" s="54" t="s">
        <v>94</v>
      </c>
      <c r="B30" s="65" t="s">
        <v>160</v>
      </c>
    </row>
    <row r="31" spans="1:3" ht="14.45" customHeight="1" x14ac:dyDescent="0.25">
      <c r="A31" t="s">
        <v>110</v>
      </c>
      <c r="B31" s="169" t="s">
        <v>449</v>
      </c>
    </row>
    <row r="32" spans="1:3" x14ac:dyDescent="0.25">
      <c r="A32" s="54" t="s">
        <v>233</v>
      </c>
      <c r="B32" s="51" t="s">
        <v>232</v>
      </c>
    </row>
    <row r="33" spans="1:21" ht="14.45" customHeight="1" x14ac:dyDescent="0.25">
      <c r="A33" s="54" t="s">
        <v>224</v>
      </c>
      <c r="B33" s="169" t="s">
        <v>225</v>
      </c>
    </row>
    <row r="34" spans="1:21" x14ac:dyDescent="0.25">
      <c r="A34" t="s">
        <v>240</v>
      </c>
      <c r="B34" t="s">
        <v>160</v>
      </c>
    </row>
    <row r="35" spans="1:21" x14ac:dyDescent="0.25">
      <c r="A35" s="54" t="s">
        <v>234</v>
      </c>
      <c r="B35" t="s">
        <v>160</v>
      </c>
    </row>
    <row r="36" spans="1:21" x14ac:dyDescent="0.25">
      <c r="A36" s="54" t="s">
        <v>318</v>
      </c>
      <c r="B36" t="s">
        <v>160</v>
      </c>
    </row>
    <row r="37" spans="1:21" s="231" customFormat="1" x14ac:dyDescent="0.25"/>
    <row r="38" spans="1:21" s="231" customFormat="1" ht="14.1" customHeight="1" x14ac:dyDescent="0.25">
      <c r="A38" s="231" t="s">
        <v>516</v>
      </c>
      <c r="B38" s="274" t="s">
        <v>515</v>
      </c>
    </row>
    <row r="39" spans="1:21" s="231" customFormat="1" x14ac:dyDescent="0.25">
      <c r="A39" s="231" t="s">
        <v>517</v>
      </c>
      <c r="B39" s="274" t="s">
        <v>514</v>
      </c>
    </row>
    <row r="40" spans="1:21" s="231" customFormat="1" x14ac:dyDescent="0.25">
      <c r="A40" s="231" t="s">
        <v>518</v>
      </c>
      <c r="B40" s="274" t="s">
        <v>513</v>
      </c>
    </row>
    <row r="41" spans="1:21" x14ac:dyDescent="0.25">
      <c r="A41" t="s">
        <v>80</v>
      </c>
      <c r="B41" s="176" t="s">
        <v>160</v>
      </c>
      <c r="L41" s="231"/>
      <c r="M41" s="231"/>
      <c r="N41" s="231"/>
      <c r="O41" s="231"/>
      <c r="P41" s="231"/>
      <c r="Q41" s="231"/>
      <c r="R41" s="231"/>
      <c r="S41" s="231"/>
      <c r="T41" s="231"/>
      <c r="U41" s="231"/>
    </row>
    <row r="42" spans="1:21" x14ac:dyDescent="0.25">
      <c r="A42" t="s">
        <v>81</v>
      </c>
      <c r="B42" s="51" t="s">
        <v>255</v>
      </c>
      <c r="L42" s="231"/>
      <c r="M42" s="231"/>
      <c r="N42" s="231"/>
      <c r="O42" s="231"/>
      <c r="P42" s="231"/>
      <c r="Q42" s="231"/>
      <c r="R42" s="231"/>
      <c r="S42" s="231"/>
      <c r="T42" s="231"/>
      <c r="U42" s="231"/>
    </row>
    <row r="43" spans="1:21" x14ac:dyDescent="0.25">
      <c r="A43" t="s">
        <v>82</v>
      </c>
      <c r="B43" s="51" t="s">
        <v>253</v>
      </c>
      <c r="L43" s="231"/>
      <c r="M43" s="231"/>
      <c r="N43" s="231"/>
      <c r="O43" s="231"/>
      <c r="P43" s="231"/>
      <c r="Q43" s="231"/>
      <c r="R43" s="231"/>
      <c r="S43" s="231"/>
      <c r="T43" s="231"/>
      <c r="U43" s="231"/>
    </row>
    <row r="44" spans="1:21" x14ac:dyDescent="0.25">
      <c r="A44" t="s">
        <v>84</v>
      </c>
      <c r="B44" s="51" t="s">
        <v>254</v>
      </c>
      <c r="L44" s="231"/>
      <c r="M44" s="231"/>
      <c r="N44" s="231"/>
      <c r="O44" s="231"/>
      <c r="P44" s="231"/>
      <c r="Q44" s="231"/>
      <c r="R44" s="231"/>
      <c r="S44" s="231"/>
      <c r="T44" s="231"/>
      <c r="U44" s="231"/>
    </row>
    <row r="45" spans="1:21" x14ac:dyDescent="0.25">
      <c r="A45" t="s">
        <v>85</v>
      </c>
      <c r="B45" s="51" t="s">
        <v>256</v>
      </c>
      <c r="L45" s="231"/>
      <c r="M45" s="231"/>
      <c r="N45" s="231"/>
      <c r="O45" s="231"/>
      <c r="P45" s="231"/>
      <c r="Q45" s="231"/>
      <c r="R45" s="231"/>
      <c r="S45" s="231"/>
      <c r="T45" s="231"/>
      <c r="U45" s="231"/>
    </row>
    <row r="46" spans="1:21" x14ac:dyDescent="0.25">
      <c r="A46" t="s">
        <v>86</v>
      </c>
      <c r="B46" s="274" t="s">
        <v>459</v>
      </c>
      <c r="L46" s="231"/>
      <c r="M46" s="231"/>
      <c r="N46" s="231"/>
      <c r="O46" s="231"/>
      <c r="P46" s="231"/>
      <c r="Q46" s="231"/>
      <c r="R46" s="231"/>
      <c r="S46" s="231"/>
      <c r="T46" s="231"/>
      <c r="U46" s="231"/>
    </row>
    <row r="47" spans="1:21" x14ac:dyDescent="0.25">
      <c r="A47" t="s">
        <v>284</v>
      </c>
      <c r="B47" s="51" t="s">
        <v>285</v>
      </c>
      <c r="L47" s="231"/>
      <c r="M47" s="231"/>
      <c r="N47" s="231"/>
      <c r="O47" s="231"/>
      <c r="P47" s="231"/>
      <c r="Q47" s="231"/>
      <c r="R47" s="231"/>
      <c r="S47" s="231"/>
      <c r="T47" s="231"/>
      <c r="U47" s="231"/>
    </row>
    <row r="48" spans="1:21" x14ac:dyDescent="0.25">
      <c r="L48" s="231"/>
      <c r="M48" s="231"/>
      <c r="N48" s="231"/>
      <c r="O48" s="231"/>
      <c r="P48" s="231"/>
      <c r="Q48" s="231"/>
      <c r="R48" s="231"/>
      <c r="S48" s="231"/>
      <c r="T48" s="231"/>
    </row>
    <row r="49" spans="1:2" x14ac:dyDescent="0.25">
      <c r="A49" t="s">
        <v>504</v>
      </c>
      <c r="B49" s="274" t="s">
        <v>505</v>
      </c>
    </row>
  </sheetData>
  <hyperlinks>
    <hyperlink ref="B23" r:id="rId1"/>
    <hyperlink ref="B26" r:id="rId2" display="http://www.givewell.org/files/DWDA 2009/Interventions/Deworming/Miguel Kremer Worms - Identifying Impacts on Education and Health in the Presence of Treatment Externalities.pdf"/>
    <hyperlink ref="B8" r:id="rId3"/>
    <hyperlink ref="B9" r:id="rId4"/>
    <hyperlink ref="B14" r:id="rId5" display="http://www.givewell.org/files/DWDA 2009/Interventions/Nets/GiveWell net cost estimates 2013.xls"/>
    <hyperlink ref="B25" r:id="rId6"/>
    <hyperlink ref="B33" r:id="rId7" display="http://www.givewell.org/files/DWDA 2009/SCI/SCI treatment numbers (October 2014).xlsx"/>
    <hyperlink ref="B32" r:id="rId8" location="gid=0"/>
    <hyperlink ref="B31" r:id="rId9"/>
    <hyperlink ref="B3" r:id="rId10"/>
    <hyperlink ref="B4" r:id="rId11"/>
    <hyperlink ref="B5" r:id="rId12"/>
    <hyperlink ref="B6" r:id="rId13"/>
    <hyperlink ref="B19" r:id="rId14"/>
    <hyperlink ref="B15" r:id="rId15"/>
    <hyperlink ref="B18" r:id="rId16"/>
    <hyperlink ref="B16" r:id="rId17"/>
    <hyperlink ref="C13" r:id="rId18"/>
    <hyperlink ref="B12" r:id="rId19"/>
    <hyperlink ref="B17" r:id="rId20"/>
    <hyperlink ref="B49" r:id="rId21"/>
    <hyperlink ref="B47" r:id="rId22"/>
    <hyperlink ref="B45" r:id="rId23"/>
    <hyperlink ref="B46" r:id="rId24"/>
    <hyperlink ref="B42" r:id="rId25"/>
    <hyperlink ref="B44" r:id="rId26"/>
    <hyperlink ref="B43" r:id="rId27"/>
    <hyperlink ref="B40" r:id="rId28"/>
    <hyperlink ref="B38" r:id="rId29"/>
    <hyperlink ref="B39" r:id="rId30"/>
  </hyperlinks>
  <pageMargins left="0.7" right="0.7" top="0.75" bottom="0.75" header="0.3" footer="0.3"/>
  <pageSetup orientation="portrait"/>
  <legacyDrawing r:id="rId3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pane xSplit="1" ySplit="2" topLeftCell="B3" activePane="bottomRight" state="frozen"/>
      <selection pane="topRight" activeCell="B1" sqref="B1"/>
      <selection pane="bottomLeft" activeCell="A3" sqref="A3"/>
      <selection pane="bottomRight" activeCell="B4" sqref="B4"/>
    </sheetView>
  </sheetViews>
  <sheetFormatPr defaultColWidth="8.85546875" defaultRowHeight="12.75" x14ac:dyDescent="0.2"/>
  <cols>
    <col min="1" max="1" width="45.140625" style="228" customWidth="1"/>
    <col min="2" max="2" width="32.42578125" style="229" customWidth="1"/>
    <col min="3" max="3" width="16.42578125" style="229" bestFit="1" customWidth="1"/>
    <col min="4" max="4" width="20" style="228" customWidth="1"/>
    <col min="5" max="5" width="15.42578125" style="229" customWidth="1"/>
    <col min="6" max="6" width="20.140625" style="229" customWidth="1"/>
    <col min="7" max="7" width="11.85546875" style="228" customWidth="1"/>
    <col min="8" max="16384" width="8.85546875" style="228"/>
  </cols>
  <sheetData>
    <row r="1" spans="1:8" x14ac:dyDescent="0.2">
      <c r="C1" s="230" t="s">
        <v>333</v>
      </c>
      <c r="E1" s="230" t="s">
        <v>334</v>
      </c>
      <c r="F1" s="230"/>
      <c r="G1" s="230" t="s">
        <v>495</v>
      </c>
      <c r="H1" s="229"/>
    </row>
    <row r="2" spans="1:8" x14ac:dyDescent="0.2">
      <c r="B2" s="229" t="s">
        <v>335</v>
      </c>
      <c r="C2" s="228"/>
      <c r="D2" s="229" t="s">
        <v>480</v>
      </c>
      <c r="E2" s="228"/>
      <c r="F2" s="229" t="s">
        <v>480</v>
      </c>
      <c r="G2" s="393"/>
      <c r="H2" s="229"/>
    </row>
    <row r="3" spans="1:8" x14ac:dyDescent="0.2">
      <c r="A3" s="228" t="s">
        <v>336</v>
      </c>
      <c r="B3" s="477" t="s">
        <v>564</v>
      </c>
      <c r="C3" s="392">
        <v>4.68</v>
      </c>
      <c r="D3" s="227"/>
      <c r="E3" s="392">
        <v>6.06</v>
      </c>
      <c r="F3" s="393"/>
      <c r="G3" s="392">
        <v>4.47</v>
      </c>
      <c r="H3" s="229"/>
    </row>
    <row r="4" spans="1:8" x14ac:dyDescent="0.2">
      <c r="A4" s="228" t="s">
        <v>337</v>
      </c>
      <c r="B4" s="229" t="s">
        <v>557</v>
      </c>
      <c r="C4" s="393">
        <v>0.1</v>
      </c>
      <c r="E4" s="393">
        <v>0.1</v>
      </c>
      <c r="F4" s="393"/>
      <c r="G4" s="393">
        <v>0.1</v>
      </c>
      <c r="H4" s="229"/>
    </row>
    <row r="5" spans="1:8" x14ac:dyDescent="0.2">
      <c r="A5" s="228" t="s">
        <v>338</v>
      </c>
      <c r="B5" s="229" t="s">
        <v>339</v>
      </c>
      <c r="C5" s="229">
        <v>1.8</v>
      </c>
      <c r="E5" s="229">
        <v>1.8</v>
      </c>
      <c r="G5" s="229">
        <v>1.8</v>
      </c>
      <c r="H5" s="229"/>
    </row>
    <row r="6" spans="1:8" x14ac:dyDescent="0.2">
      <c r="A6" s="228" t="s">
        <v>340</v>
      </c>
      <c r="B6" s="229" t="s">
        <v>494</v>
      </c>
      <c r="C6" s="394">
        <v>2.2200000000000002</v>
      </c>
      <c r="D6" s="229"/>
      <c r="E6" s="394">
        <v>2.2200000000000002</v>
      </c>
      <c r="F6" s="394"/>
      <c r="G6" s="394">
        <v>2.2200000000000002</v>
      </c>
      <c r="H6" s="229"/>
    </row>
    <row r="7" spans="1:8" s="395" customFormat="1" x14ac:dyDescent="0.2">
      <c r="A7" s="228" t="s">
        <v>341</v>
      </c>
      <c r="B7" s="229" t="s">
        <v>563</v>
      </c>
      <c r="C7" s="393">
        <v>0.33</v>
      </c>
      <c r="D7" s="228"/>
      <c r="E7" s="393">
        <v>0.33</v>
      </c>
      <c r="F7" s="393"/>
      <c r="G7" s="393">
        <v>0.33</v>
      </c>
      <c r="H7" s="393"/>
    </row>
    <row r="8" spans="1:8" x14ac:dyDescent="0.2">
      <c r="A8" s="228" t="s">
        <v>342</v>
      </c>
      <c r="B8" s="396" t="s">
        <v>475</v>
      </c>
      <c r="C8" s="393">
        <v>0.16600000000000001</v>
      </c>
      <c r="D8" s="396" t="s">
        <v>343</v>
      </c>
      <c r="E8" s="393">
        <v>0.19900000000000001</v>
      </c>
      <c r="F8" s="393" t="s">
        <v>562</v>
      </c>
      <c r="G8" s="393">
        <v>0.17249999999999999</v>
      </c>
      <c r="H8" s="229"/>
    </row>
    <row r="9" spans="1:8" x14ac:dyDescent="0.2">
      <c r="A9" s="228" t="s">
        <v>344</v>
      </c>
      <c r="B9" s="396" t="s">
        <v>475</v>
      </c>
      <c r="C9" s="393">
        <f>16.2%+15.9%</f>
        <v>0.32100000000000001</v>
      </c>
      <c r="D9" s="396" t="s">
        <v>343</v>
      </c>
      <c r="E9" s="393">
        <f>17.1%+14.5%</f>
        <v>0.316</v>
      </c>
      <c r="F9" s="393" t="s">
        <v>562</v>
      </c>
      <c r="G9" s="393">
        <v>0.308</v>
      </c>
      <c r="H9" s="229"/>
    </row>
    <row r="10" spans="1:8" x14ac:dyDescent="0.2">
      <c r="A10" s="228" t="s">
        <v>345</v>
      </c>
      <c r="B10" s="229" t="s">
        <v>346</v>
      </c>
      <c r="C10" s="397">
        <f>5.53/1000</f>
        <v>5.5300000000000002E-3</v>
      </c>
      <c r="E10" s="397">
        <f>5.53/1000</f>
        <v>5.5300000000000002E-3</v>
      </c>
      <c r="F10" s="397"/>
      <c r="G10" s="397">
        <f>5.53/1000</f>
        <v>5.5300000000000002E-3</v>
      </c>
      <c r="H10" s="229"/>
    </row>
    <row r="11" spans="1:8" x14ac:dyDescent="0.2">
      <c r="C11" s="397"/>
      <c r="E11" s="397"/>
      <c r="F11" s="397"/>
      <c r="G11" s="397"/>
      <c r="H11" s="229"/>
    </row>
    <row r="12" spans="1:8" x14ac:dyDescent="0.2">
      <c r="A12" s="229" t="s">
        <v>427</v>
      </c>
      <c r="B12" s="229" t="s">
        <v>428</v>
      </c>
      <c r="C12" s="397">
        <v>142.25</v>
      </c>
      <c r="D12" s="229"/>
      <c r="E12" s="397">
        <v>142.25</v>
      </c>
      <c r="F12" s="397"/>
      <c r="G12" s="397">
        <v>142.25</v>
      </c>
      <c r="H12" s="229"/>
    </row>
    <row r="13" spans="1:8" x14ac:dyDescent="0.2">
      <c r="A13" s="229" t="s">
        <v>347</v>
      </c>
      <c r="B13" s="229" t="s">
        <v>348</v>
      </c>
      <c r="C13" s="397">
        <v>64</v>
      </c>
      <c r="D13" s="229"/>
      <c r="E13" s="397">
        <v>98</v>
      </c>
      <c r="F13" s="397" t="s">
        <v>562</v>
      </c>
      <c r="G13" s="397">
        <v>69</v>
      </c>
      <c r="H13" s="229"/>
    </row>
    <row r="14" spans="1:8" x14ac:dyDescent="0.2">
      <c r="A14" s="229" t="s">
        <v>429</v>
      </c>
      <c r="B14" s="229" t="s">
        <v>134</v>
      </c>
      <c r="C14" s="470">
        <f>C13/C12</f>
        <v>0.44991212653778556</v>
      </c>
      <c r="D14" s="229"/>
      <c r="E14" s="470">
        <f>E13/E12</f>
        <v>0.68892794376098421</v>
      </c>
      <c r="F14" s="397"/>
      <c r="G14" s="470">
        <f>G13/G12</f>
        <v>0.48506151142355008</v>
      </c>
      <c r="H14" s="229"/>
    </row>
    <row r="15" spans="1:8" x14ac:dyDescent="0.2">
      <c r="A15" s="229" t="s">
        <v>349</v>
      </c>
      <c r="B15" s="229" t="s">
        <v>348</v>
      </c>
      <c r="C15" s="397">
        <v>125</v>
      </c>
      <c r="D15" s="229"/>
      <c r="E15" s="397">
        <v>143</v>
      </c>
      <c r="F15" s="397" t="s">
        <v>562</v>
      </c>
      <c r="G15" s="397">
        <v>117</v>
      </c>
      <c r="H15" s="229"/>
    </row>
    <row r="16" spans="1:8" x14ac:dyDescent="0.2">
      <c r="A16" s="229" t="s">
        <v>430</v>
      </c>
      <c r="B16" s="229" t="s">
        <v>134</v>
      </c>
      <c r="C16" s="470">
        <f>C15/C12</f>
        <v>0.87873462214411246</v>
      </c>
      <c r="D16" s="229"/>
      <c r="E16" s="470">
        <f>E15/E12</f>
        <v>1.0052724077328647</v>
      </c>
      <c r="F16" s="397"/>
      <c r="G16" s="470">
        <f>G15/G12</f>
        <v>0.82249560632688923</v>
      </c>
      <c r="H16" s="229"/>
    </row>
    <row r="17" spans="1:8" x14ac:dyDescent="0.2">
      <c r="A17" s="229" t="s">
        <v>350</v>
      </c>
      <c r="B17" s="229" t="s">
        <v>485</v>
      </c>
      <c r="C17" s="471">
        <v>0.25</v>
      </c>
      <c r="D17" s="229"/>
      <c r="E17" s="471">
        <v>0.25</v>
      </c>
      <c r="F17" s="397"/>
      <c r="G17" s="471">
        <v>0.25</v>
      </c>
      <c r="H17" s="229"/>
    </row>
    <row r="18" spans="1:8" x14ac:dyDescent="0.2">
      <c r="A18" s="229" t="s">
        <v>431</v>
      </c>
      <c r="B18" s="229" t="s">
        <v>134</v>
      </c>
      <c r="C18" s="470">
        <f>C14+(C16-C14)*C17</f>
        <v>0.55711775043936729</v>
      </c>
      <c r="D18" s="229"/>
      <c r="E18" s="470">
        <f>E14+(E16-E14)*E17</f>
        <v>0.76801405975395431</v>
      </c>
      <c r="F18" s="397"/>
      <c r="G18" s="470">
        <f>G14+(G16-G14)*G17</f>
        <v>0.56942003514938488</v>
      </c>
      <c r="H18" s="229"/>
    </row>
    <row r="19" spans="1:8" x14ac:dyDescent="0.2">
      <c r="A19" s="228" t="s">
        <v>351</v>
      </c>
      <c r="B19" s="229" t="s">
        <v>134</v>
      </c>
      <c r="C19" s="472">
        <f>C10*C18*(1-C7)</f>
        <v>2.0641769771528994E-3</v>
      </c>
      <c r="D19" s="229"/>
      <c r="E19" s="472">
        <f>E10*E18*(1-E7)</f>
        <v>2.8455688927943759E-3</v>
      </c>
      <c r="F19" s="397"/>
      <c r="G19" s="472">
        <f>G10*G18*(1-G7)</f>
        <v>2.1097581722319858E-3</v>
      </c>
      <c r="H19" s="229"/>
    </row>
    <row r="20" spans="1:8" x14ac:dyDescent="0.2">
      <c r="G20" s="229"/>
      <c r="H20" s="229"/>
    </row>
    <row r="21" spans="1:8" x14ac:dyDescent="0.2">
      <c r="A21" s="228" t="s">
        <v>352</v>
      </c>
      <c r="B21" s="229" t="s">
        <v>403</v>
      </c>
      <c r="C21" s="393">
        <f>29%/0.7</f>
        <v>0.41428571428571426</v>
      </c>
      <c r="D21" s="393" t="s">
        <v>404</v>
      </c>
      <c r="E21" s="393">
        <f>50.2%/0.7</f>
        <v>0.71714285714285719</v>
      </c>
      <c r="F21" s="393" t="s">
        <v>562</v>
      </c>
      <c r="G21" s="393">
        <v>0.53100000000000003</v>
      </c>
      <c r="H21" s="229"/>
    </row>
    <row r="22" spans="1:8" x14ac:dyDescent="0.2">
      <c r="A22" s="228" t="s">
        <v>468</v>
      </c>
      <c r="B22" s="229" t="s">
        <v>403</v>
      </c>
      <c r="C22" s="393">
        <f>37.9%/0.7</f>
        <v>0.54142857142857148</v>
      </c>
      <c r="D22" s="393" t="s">
        <v>404</v>
      </c>
      <c r="E22" s="393">
        <f>55.8%/0.7</f>
        <v>0.79714285714285715</v>
      </c>
      <c r="F22" s="393" t="s">
        <v>562</v>
      </c>
      <c r="G22" s="393">
        <v>0.63100000000000001</v>
      </c>
      <c r="H22" s="229"/>
    </row>
    <row r="23" spans="1:8" x14ac:dyDescent="0.2">
      <c r="A23" s="228" t="s">
        <v>469</v>
      </c>
      <c r="B23" s="229" t="s">
        <v>403</v>
      </c>
      <c r="C23" s="393">
        <f>20.1%/0.7</f>
        <v>0.2871428571428572</v>
      </c>
      <c r="D23" s="393" t="s">
        <v>404</v>
      </c>
      <c r="E23" s="393">
        <f>41.6%/0.7</f>
        <v>0.59428571428571442</v>
      </c>
      <c r="F23" s="393" t="s">
        <v>562</v>
      </c>
      <c r="G23" s="393">
        <v>0.45750000000000002</v>
      </c>
      <c r="H23" s="229"/>
    </row>
    <row r="24" spans="1:8" x14ac:dyDescent="0.2">
      <c r="A24" s="228" t="s">
        <v>470</v>
      </c>
      <c r="B24" s="396" t="s">
        <v>501</v>
      </c>
      <c r="C24" s="393">
        <v>0.22650000000000001</v>
      </c>
      <c r="D24" s="396" t="s">
        <v>502</v>
      </c>
      <c r="E24" s="393">
        <v>1.77E-2</v>
      </c>
      <c r="F24" s="393" t="s">
        <v>401</v>
      </c>
      <c r="G24" s="393">
        <f>AVERAGE(C24,E24)</f>
        <v>0.1221</v>
      </c>
      <c r="H24" s="229"/>
    </row>
    <row r="25" spans="1:8" x14ac:dyDescent="0.2">
      <c r="A25" s="228" t="s">
        <v>471</v>
      </c>
      <c r="B25" s="396" t="s">
        <v>134</v>
      </c>
      <c r="C25" s="404">
        <f>C$24*C22/C$21</f>
        <v>0.29601206896551729</v>
      </c>
      <c r="D25" s="396"/>
      <c r="E25" s="404">
        <f>E$24*E22/E$21</f>
        <v>1.967450199203187E-2</v>
      </c>
      <c r="F25" s="393"/>
      <c r="G25" s="404">
        <f>G$24*G22/G$21</f>
        <v>0.14509435028248588</v>
      </c>
      <c r="H25" s="229"/>
    </row>
    <row r="26" spans="1:8" x14ac:dyDescent="0.2">
      <c r="A26" s="228" t="s">
        <v>472</v>
      </c>
      <c r="B26" s="396" t="s">
        <v>134</v>
      </c>
      <c r="C26" s="404">
        <f>C$24*C23/C$21</f>
        <v>0.1569879310344828</v>
      </c>
      <c r="D26" s="396"/>
      <c r="E26" s="404">
        <f>E$24*E23/E$21</f>
        <v>1.4667729083665341E-2</v>
      </c>
      <c r="F26" s="393"/>
      <c r="G26" s="404">
        <f>G$24*G23/G$21</f>
        <v>0.10519915254237287</v>
      </c>
      <c r="H26" s="229"/>
    </row>
    <row r="27" spans="1:8" x14ac:dyDescent="0.2">
      <c r="A27" s="228" t="s">
        <v>353</v>
      </c>
      <c r="B27" s="229" t="s">
        <v>491</v>
      </c>
      <c r="C27" s="393">
        <v>0.5</v>
      </c>
      <c r="D27" s="229"/>
      <c r="E27" s="393">
        <v>0.5</v>
      </c>
      <c r="G27" s="393">
        <v>0.5</v>
      </c>
      <c r="H27" s="229"/>
    </row>
    <row r="28" spans="1:8" x14ac:dyDescent="0.2">
      <c r="A28" s="228" t="s">
        <v>354</v>
      </c>
      <c r="B28" s="229" t="s">
        <v>355</v>
      </c>
      <c r="C28" s="404">
        <f>C27*C24+(1-C27)*C25</f>
        <v>0.26125603448275864</v>
      </c>
      <c r="D28" s="229"/>
      <c r="E28" s="404">
        <f>E27*E24+(1-E27)*E25</f>
        <v>1.8687250996015935E-2</v>
      </c>
      <c r="G28" s="404">
        <f>G27*G24+(1-G27)*G25</f>
        <v>0.13359717514124295</v>
      </c>
      <c r="H28" s="229"/>
    </row>
    <row r="29" spans="1:8" x14ac:dyDescent="0.2">
      <c r="A29" s="228" t="s">
        <v>356</v>
      </c>
      <c r="B29" s="229" t="s">
        <v>355</v>
      </c>
      <c r="C29" s="404">
        <f>C27*C24+(1-C27)*C26</f>
        <v>0.1917439655172414</v>
      </c>
      <c r="D29" s="229"/>
      <c r="E29" s="404">
        <f>E27*E24+(1-E27)*E26</f>
        <v>1.6183864541832672E-2</v>
      </c>
      <c r="G29" s="404">
        <f>G27*G24+(1-G27)*G26</f>
        <v>0.11364957627118644</v>
      </c>
      <c r="H29" s="229"/>
    </row>
    <row r="30" spans="1:8" x14ac:dyDescent="0.2">
      <c r="A30" s="228" t="s">
        <v>357</v>
      </c>
      <c r="B30" s="229" t="s">
        <v>484</v>
      </c>
      <c r="C30" s="404">
        <f>((100%-C28)*C8)/((1-C24))</f>
        <v>0.15854104495909774</v>
      </c>
      <c r="D30" s="229"/>
      <c r="E30" s="404">
        <f>((100%-E28)*E8)/((1-E24))</f>
        <v>0.19879999699866926</v>
      </c>
      <c r="G30" s="404">
        <f>((100%-G28)*G8)/((1-G24))</f>
        <v>0.17024090134199293</v>
      </c>
      <c r="H30" s="229"/>
    </row>
    <row r="31" spans="1:8" x14ac:dyDescent="0.2">
      <c r="A31" s="228" t="s">
        <v>358</v>
      </c>
      <c r="B31" s="229" t="s">
        <v>359</v>
      </c>
      <c r="C31" s="404">
        <f>((100%-C29)*C9)/(1-C24)</f>
        <v>0.33542364197668456</v>
      </c>
      <c r="D31" s="229"/>
      <c r="E31" s="404">
        <f>((100%-E29)*E9)/(1-E24)</f>
        <v>0.31648773165507577</v>
      </c>
      <c r="G31" s="404">
        <f>((100%-G29)*G9)/(1-G24)</f>
        <v>0.31096472321275154</v>
      </c>
      <c r="H31" s="229"/>
    </row>
    <row r="32" spans="1:8" x14ac:dyDescent="0.2">
      <c r="G32" s="229"/>
      <c r="H32" s="229"/>
    </row>
    <row r="33" spans="1:8" x14ac:dyDescent="0.2">
      <c r="A33" s="228" t="s">
        <v>360</v>
      </c>
      <c r="B33" s="229" t="s">
        <v>361</v>
      </c>
      <c r="C33" s="480">
        <f>10^6</f>
        <v>1000000</v>
      </c>
      <c r="D33" s="396"/>
      <c r="E33" s="480">
        <f>10^6</f>
        <v>1000000</v>
      </c>
      <c r="F33" s="396"/>
      <c r="G33" s="480">
        <f>10^6</f>
        <v>1000000</v>
      </c>
      <c r="H33" s="229"/>
    </row>
    <row r="34" spans="1:8" x14ac:dyDescent="0.2">
      <c r="A34" s="228" t="s">
        <v>362</v>
      </c>
      <c r="B34" s="229" t="s">
        <v>134</v>
      </c>
      <c r="C34" s="473">
        <f>(C33/C3)*(1-C4)</f>
        <v>192307.69230769231</v>
      </c>
      <c r="D34" s="229"/>
      <c r="E34" s="473">
        <f>(E33/E3)*(1-E4)</f>
        <v>148514.85148514854</v>
      </c>
      <c r="G34" s="473">
        <f>(G33/G3)*(1-G4)</f>
        <v>201342.28187919463</v>
      </c>
      <c r="H34" s="229"/>
    </row>
    <row r="35" spans="1:8" x14ac:dyDescent="0.2">
      <c r="A35" s="228" t="s">
        <v>363</v>
      </c>
      <c r="B35" s="229" t="s">
        <v>134</v>
      </c>
      <c r="C35" s="473">
        <f>C34*C5*C6</f>
        <v>768461.53846153861</v>
      </c>
      <c r="D35" s="229"/>
      <c r="E35" s="473">
        <f>E34*E5*E6</f>
        <v>593465.34653465357</v>
      </c>
      <c r="G35" s="473">
        <f>G34*G5*G6</f>
        <v>804563.7583892619</v>
      </c>
      <c r="H35" s="229"/>
    </row>
    <row r="36" spans="1:8" x14ac:dyDescent="0.2">
      <c r="A36" s="228" t="s">
        <v>364</v>
      </c>
      <c r="B36" s="229" t="s">
        <v>134</v>
      </c>
      <c r="C36" s="473">
        <f>C35*C30</f>
        <v>121832.69531856821</v>
      </c>
      <c r="D36" s="392"/>
      <c r="E36" s="473">
        <f>E35*E30</f>
        <v>117980.90910990334</v>
      </c>
      <c r="F36" s="392"/>
      <c r="G36" s="473">
        <f>G35*G30</f>
        <v>136969.65941528938</v>
      </c>
      <c r="H36" s="392"/>
    </row>
    <row r="37" spans="1:8" x14ac:dyDescent="0.2">
      <c r="A37" s="228" t="s">
        <v>365</v>
      </c>
      <c r="B37" s="229" t="s">
        <v>134</v>
      </c>
      <c r="C37" s="473">
        <f>C35*C31</f>
        <v>257760.16794977535</v>
      </c>
      <c r="D37" s="392"/>
      <c r="E37" s="473">
        <f>E35*E31</f>
        <v>187824.50134064598</v>
      </c>
      <c r="F37" s="392"/>
      <c r="G37" s="473">
        <f>G35*G31</f>
        <v>250190.94643452793</v>
      </c>
      <c r="H37" s="392"/>
    </row>
    <row r="38" spans="1:8" x14ac:dyDescent="0.2">
      <c r="A38" s="228" t="s">
        <v>366</v>
      </c>
      <c r="B38" s="229" t="s">
        <v>134</v>
      </c>
      <c r="C38" s="473">
        <f>C36*C19</f>
        <v>251.48424474107233</v>
      </c>
      <c r="D38" s="229"/>
      <c r="E38" s="473">
        <f>E36*E19</f>
        <v>335.72280490674154</v>
      </c>
      <c r="G38" s="473">
        <f>G36*G19</f>
        <v>288.97285829923851</v>
      </c>
      <c r="H38" s="229"/>
    </row>
    <row r="39" spans="1:8" x14ac:dyDescent="0.2">
      <c r="D39" s="229"/>
      <c r="G39" s="229"/>
      <c r="H39" s="229"/>
    </row>
    <row r="40" spans="1:8" x14ac:dyDescent="0.2">
      <c r="A40" s="228" t="s">
        <v>367</v>
      </c>
      <c r="B40" s="229" t="s">
        <v>134</v>
      </c>
      <c r="C40" s="405">
        <f>C33/C35</f>
        <v>1.3013013013013011</v>
      </c>
      <c r="D40" s="229"/>
      <c r="E40" s="405">
        <f>E33/E35</f>
        <v>1.6850183516850181</v>
      </c>
      <c r="G40" s="405">
        <f>G33/G35</f>
        <v>1.2429095762429094</v>
      </c>
      <c r="H40" s="229"/>
    </row>
    <row r="41" spans="1:8" x14ac:dyDescent="0.2">
      <c r="A41" s="228" t="s">
        <v>368</v>
      </c>
      <c r="B41" s="229" t="s">
        <v>134</v>
      </c>
      <c r="C41" s="405">
        <f>C33/C36</f>
        <v>8.207977319923847</v>
      </c>
      <c r="D41" s="229"/>
      <c r="E41" s="405">
        <f>E33/E36</f>
        <v>8.4759475710469818</v>
      </c>
      <c r="G41" s="405">
        <f>G33/G36</f>
        <v>7.3008869575123869</v>
      </c>
      <c r="H41" s="229"/>
    </row>
    <row r="42" spans="1:8" x14ac:dyDescent="0.2">
      <c r="A42" s="228" t="s">
        <v>369</v>
      </c>
      <c r="B42" s="229" t="s">
        <v>134</v>
      </c>
      <c r="C42" s="405">
        <f>C33/SUM(C36:C37)</f>
        <v>2.6344014779147082</v>
      </c>
      <c r="D42" s="229"/>
      <c r="E42" s="405">
        <f>E33/SUM(E36:E37)</f>
        <v>3.2700533274629762</v>
      </c>
      <c r="G42" s="405">
        <f>G33/SUM(G36:G37)</f>
        <v>2.5829074159159364</v>
      </c>
      <c r="H42" s="229"/>
    </row>
    <row r="43" spans="1:8" x14ac:dyDescent="0.2">
      <c r="A43" s="229" t="s">
        <v>402</v>
      </c>
      <c r="B43" s="229" t="s">
        <v>134</v>
      </c>
      <c r="C43" s="405">
        <f>C42/(1-C7)</f>
        <v>3.9319425043503111</v>
      </c>
      <c r="D43" s="229"/>
      <c r="E43" s="405">
        <f>E42/(1-E7)</f>
        <v>4.8806766081536965</v>
      </c>
      <c r="G43" s="405">
        <f>G42/(1-G7)</f>
        <v>3.8550856953969204</v>
      </c>
      <c r="H43" s="229"/>
    </row>
    <row r="44" spans="1:8" s="398" customFormat="1" x14ac:dyDescent="0.2">
      <c r="A44" s="398" t="s">
        <v>370</v>
      </c>
      <c r="B44" s="230" t="s">
        <v>134</v>
      </c>
      <c r="C44" s="474">
        <f>C33/C38</f>
        <v>3976.3922429001386</v>
      </c>
      <c r="D44" s="475"/>
      <c r="E44" s="474">
        <f>E33/E38</f>
        <v>2978.6478171412396</v>
      </c>
      <c r="F44" s="474"/>
      <c r="G44" s="474">
        <f>G33/G38</f>
        <v>3460.5326115592329</v>
      </c>
      <c r="H44" s="230"/>
    </row>
    <row r="45" spans="1:8" x14ac:dyDescent="0.2">
      <c r="C45" s="392"/>
      <c r="E45" s="392"/>
      <c r="F45" s="392"/>
    </row>
  </sheetData>
  <sheetProtection selectLockedCells="1" selectUnlockedCells="1"/>
  <hyperlinks>
    <hyperlink ref="B3" r:id="rId1" location="Whatdoyougetforyourdollar"/>
  </hyperlinks>
  <pageMargins left="0.75" right="0.75" top="1" bottom="1"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L2" sqref="L2"/>
    </sheetView>
  </sheetViews>
  <sheetFormatPr defaultColWidth="11.42578125" defaultRowHeight="12.75" x14ac:dyDescent="0.2"/>
  <cols>
    <col min="1" max="11" width="11.42578125" style="228" customWidth="1"/>
    <col min="12" max="12" width="19" style="400" bestFit="1" customWidth="1"/>
    <col min="13" max="256" width="11.42578125" style="228"/>
    <col min="257" max="267" width="11.42578125" style="228" customWidth="1"/>
    <col min="268" max="268" width="19" style="228" bestFit="1" customWidth="1"/>
    <col min="269" max="512" width="11.42578125" style="228"/>
    <col min="513" max="523" width="11.42578125" style="228" customWidth="1"/>
    <col min="524" max="524" width="19" style="228" bestFit="1" customWidth="1"/>
    <col min="525" max="768" width="11.42578125" style="228"/>
    <col min="769" max="779" width="11.42578125" style="228" customWidth="1"/>
    <col min="780" max="780" width="19" style="228" bestFit="1" customWidth="1"/>
    <col min="781" max="1024" width="11.42578125" style="228"/>
    <col min="1025" max="1035" width="11.42578125" style="228" customWidth="1"/>
    <col min="1036" max="1036" width="19" style="228" bestFit="1" customWidth="1"/>
    <col min="1037" max="1280" width="11.42578125" style="228"/>
    <col min="1281" max="1291" width="11.42578125" style="228" customWidth="1"/>
    <col min="1292" max="1292" width="19" style="228" bestFit="1" customWidth="1"/>
    <col min="1293" max="1536" width="11.42578125" style="228"/>
    <col min="1537" max="1547" width="11.42578125" style="228" customWidth="1"/>
    <col min="1548" max="1548" width="19" style="228" bestFit="1" customWidth="1"/>
    <col min="1549" max="1792" width="11.42578125" style="228"/>
    <col min="1793" max="1803" width="11.42578125" style="228" customWidth="1"/>
    <col min="1804" max="1804" width="19" style="228" bestFit="1" customWidth="1"/>
    <col min="1805" max="2048" width="11.42578125" style="228"/>
    <col min="2049" max="2059" width="11.42578125" style="228" customWidth="1"/>
    <col min="2060" max="2060" width="19" style="228" bestFit="1" customWidth="1"/>
    <col min="2061" max="2304" width="11.42578125" style="228"/>
    <col min="2305" max="2315" width="11.42578125" style="228" customWidth="1"/>
    <col min="2316" max="2316" width="19" style="228" bestFit="1" customWidth="1"/>
    <col min="2317" max="2560" width="11.42578125" style="228"/>
    <col min="2561" max="2571" width="11.42578125" style="228" customWidth="1"/>
    <col min="2572" max="2572" width="19" style="228" bestFit="1" customWidth="1"/>
    <col min="2573" max="2816" width="11.42578125" style="228"/>
    <col min="2817" max="2827" width="11.42578125" style="228" customWidth="1"/>
    <col min="2828" max="2828" width="19" style="228" bestFit="1" customWidth="1"/>
    <col min="2829" max="3072" width="11.42578125" style="228"/>
    <col min="3073" max="3083" width="11.42578125" style="228" customWidth="1"/>
    <col min="3084" max="3084" width="19" style="228" bestFit="1" customWidth="1"/>
    <col min="3085" max="3328" width="11.42578125" style="228"/>
    <col min="3329" max="3339" width="11.42578125" style="228" customWidth="1"/>
    <col min="3340" max="3340" width="19" style="228" bestFit="1" customWidth="1"/>
    <col min="3341" max="3584" width="11.42578125" style="228"/>
    <col min="3585" max="3595" width="11.42578125" style="228" customWidth="1"/>
    <col min="3596" max="3596" width="19" style="228" bestFit="1" customWidth="1"/>
    <col min="3597" max="3840" width="11.42578125" style="228"/>
    <col min="3841" max="3851" width="11.42578125" style="228" customWidth="1"/>
    <col min="3852" max="3852" width="19" style="228" bestFit="1" customWidth="1"/>
    <col min="3853" max="4096" width="11.42578125" style="228"/>
    <col min="4097" max="4107" width="11.42578125" style="228" customWidth="1"/>
    <col min="4108" max="4108" width="19" style="228" bestFit="1" customWidth="1"/>
    <col min="4109" max="4352" width="11.42578125" style="228"/>
    <col min="4353" max="4363" width="11.42578125" style="228" customWidth="1"/>
    <col min="4364" max="4364" width="19" style="228" bestFit="1" customWidth="1"/>
    <col min="4365" max="4608" width="11.42578125" style="228"/>
    <col min="4609" max="4619" width="11.42578125" style="228" customWidth="1"/>
    <col min="4620" max="4620" width="19" style="228" bestFit="1" customWidth="1"/>
    <col min="4621" max="4864" width="11.42578125" style="228"/>
    <col min="4865" max="4875" width="11.42578125" style="228" customWidth="1"/>
    <col min="4876" max="4876" width="19" style="228" bestFit="1" customWidth="1"/>
    <col min="4877" max="5120" width="11.42578125" style="228"/>
    <col min="5121" max="5131" width="11.42578125" style="228" customWidth="1"/>
    <col min="5132" max="5132" width="19" style="228" bestFit="1" customWidth="1"/>
    <col min="5133" max="5376" width="11.42578125" style="228"/>
    <col min="5377" max="5387" width="11.42578125" style="228" customWidth="1"/>
    <col min="5388" max="5388" width="19" style="228" bestFit="1" customWidth="1"/>
    <col min="5389" max="5632" width="11.42578125" style="228"/>
    <col min="5633" max="5643" width="11.42578125" style="228" customWidth="1"/>
    <col min="5644" max="5644" width="19" style="228" bestFit="1" customWidth="1"/>
    <col min="5645" max="5888" width="11.42578125" style="228"/>
    <col min="5889" max="5899" width="11.42578125" style="228" customWidth="1"/>
    <col min="5900" max="5900" width="19" style="228" bestFit="1" customWidth="1"/>
    <col min="5901" max="6144" width="11.42578125" style="228"/>
    <col min="6145" max="6155" width="11.42578125" style="228" customWidth="1"/>
    <col min="6156" max="6156" width="19" style="228" bestFit="1" customWidth="1"/>
    <col min="6157" max="6400" width="11.42578125" style="228"/>
    <col min="6401" max="6411" width="11.42578125" style="228" customWidth="1"/>
    <col min="6412" max="6412" width="19" style="228" bestFit="1" customWidth="1"/>
    <col min="6413" max="6656" width="11.42578125" style="228"/>
    <col min="6657" max="6667" width="11.42578125" style="228" customWidth="1"/>
    <col min="6668" max="6668" width="19" style="228" bestFit="1" customWidth="1"/>
    <col min="6669" max="6912" width="11.42578125" style="228"/>
    <col min="6913" max="6923" width="11.42578125" style="228" customWidth="1"/>
    <col min="6924" max="6924" width="19" style="228" bestFit="1" customWidth="1"/>
    <col min="6925" max="7168" width="11.42578125" style="228"/>
    <col min="7169" max="7179" width="11.42578125" style="228" customWidth="1"/>
    <col min="7180" max="7180" width="19" style="228" bestFit="1" customWidth="1"/>
    <col min="7181" max="7424" width="11.42578125" style="228"/>
    <col min="7425" max="7435" width="11.42578125" style="228" customWidth="1"/>
    <col min="7436" max="7436" width="19" style="228" bestFit="1" customWidth="1"/>
    <col min="7437" max="7680" width="11.42578125" style="228"/>
    <col min="7681" max="7691" width="11.42578125" style="228" customWidth="1"/>
    <col min="7692" max="7692" width="19" style="228" bestFit="1" customWidth="1"/>
    <col min="7693" max="7936" width="11.42578125" style="228"/>
    <col min="7937" max="7947" width="11.42578125" style="228" customWidth="1"/>
    <col min="7948" max="7948" width="19" style="228" bestFit="1" customWidth="1"/>
    <col min="7949" max="8192" width="11.42578125" style="228"/>
    <col min="8193" max="8203" width="11.42578125" style="228" customWidth="1"/>
    <col min="8204" max="8204" width="19" style="228" bestFit="1" customWidth="1"/>
    <col min="8205" max="8448" width="11.42578125" style="228"/>
    <col min="8449" max="8459" width="11.42578125" style="228" customWidth="1"/>
    <col min="8460" max="8460" width="19" style="228" bestFit="1" customWidth="1"/>
    <col min="8461" max="8704" width="11.42578125" style="228"/>
    <col min="8705" max="8715" width="11.42578125" style="228" customWidth="1"/>
    <col min="8716" max="8716" width="19" style="228" bestFit="1" customWidth="1"/>
    <col min="8717" max="8960" width="11.42578125" style="228"/>
    <col min="8961" max="8971" width="11.42578125" style="228" customWidth="1"/>
    <col min="8972" max="8972" width="19" style="228" bestFit="1" customWidth="1"/>
    <col min="8973" max="9216" width="11.42578125" style="228"/>
    <col min="9217" max="9227" width="11.42578125" style="228" customWidth="1"/>
    <col min="9228" max="9228" width="19" style="228" bestFit="1" customWidth="1"/>
    <col min="9229" max="9472" width="11.42578125" style="228"/>
    <col min="9473" max="9483" width="11.42578125" style="228" customWidth="1"/>
    <col min="9484" max="9484" width="19" style="228" bestFit="1" customWidth="1"/>
    <col min="9485" max="9728" width="11.42578125" style="228"/>
    <col min="9729" max="9739" width="11.42578125" style="228" customWidth="1"/>
    <col min="9740" max="9740" width="19" style="228" bestFit="1" customWidth="1"/>
    <col min="9741" max="9984" width="11.42578125" style="228"/>
    <col min="9985" max="9995" width="11.42578125" style="228" customWidth="1"/>
    <col min="9996" max="9996" width="19" style="228" bestFit="1" customWidth="1"/>
    <col min="9997" max="10240" width="11.42578125" style="228"/>
    <col min="10241" max="10251" width="11.42578125" style="228" customWidth="1"/>
    <col min="10252" max="10252" width="19" style="228" bestFit="1" customWidth="1"/>
    <col min="10253" max="10496" width="11.42578125" style="228"/>
    <col min="10497" max="10507" width="11.42578125" style="228" customWidth="1"/>
    <col min="10508" max="10508" width="19" style="228" bestFit="1" customWidth="1"/>
    <col min="10509" max="10752" width="11.42578125" style="228"/>
    <col min="10753" max="10763" width="11.42578125" style="228" customWidth="1"/>
    <col min="10764" max="10764" width="19" style="228" bestFit="1" customWidth="1"/>
    <col min="10765" max="11008" width="11.42578125" style="228"/>
    <col min="11009" max="11019" width="11.42578125" style="228" customWidth="1"/>
    <col min="11020" max="11020" width="19" style="228" bestFit="1" customWidth="1"/>
    <col min="11021" max="11264" width="11.42578125" style="228"/>
    <col min="11265" max="11275" width="11.42578125" style="228" customWidth="1"/>
    <col min="11276" max="11276" width="19" style="228" bestFit="1" customWidth="1"/>
    <col min="11277" max="11520" width="11.42578125" style="228"/>
    <col min="11521" max="11531" width="11.42578125" style="228" customWidth="1"/>
    <col min="11532" max="11532" width="19" style="228" bestFit="1" customWidth="1"/>
    <col min="11533" max="11776" width="11.42578125" style="228"/>
    <col min="11777" max="11787" width="11.42578125" style="228" customWidth="1"/>
    <col min="11788" max="11788" width="19" style="228" bestFit="1" customWidth="1"/>
    <col min="11789" max="12032" width="11.42578125" style="228"/>
    <col min="12033" max="12043" width="11.42578125" style="228" customWidth="1"/>
    <col min="12044" max="12044" width="19" style="228" bestFit="1" customWidth="1"/>
    <col min="12045" max="12288" width="11.42578125" style="228"/>
    <col min="12289" max="12299" width="11.42578125" style="228" customWidth="1"/>
    <col min="12300" max="12300" width="19" style="228" bestFit="1" customWidth="1"/>
    <col min="12301" max="12544" width="11.42578125" style="228"/>
    <col min="12545" max="12555" width="11.42578125" style="228" customWidth="1"/>
    <col min="12556" max="12556" width="19" style="228" bestFit="1" customWidth="1"/>
    <col min="12557" max="12800" width="11.42578125" style="228"/>
    <col min="12801" max="12811" width="11.42578125" style="228" customWidth="1"/>
    <col min="12812" max="12812" width="19" style="228" bestFit="1" customWidth="1"/>
    <col min="12813" max="13056" width="11.42578125" style="228"/>
    <col min="13057" max="13067" width="11.42578125" style="228" customWidth="1"/>
    <col min="13068" max="13068" width="19" style="228" bestFit="1" customWidth="1"/>
    <col min="13069" max="13312" width="11.42578125" style="228"/>
    <col min="13313" max="13323" width="11.42578125" style="228" customWidth="1"/>
    <col min="13324" max="13324" width="19" style="228" bestFit="1" customWidth="1"/>
    <col min="13325" max="13568" width="11.42578125" style="228"/>
    <col min="13569" max="13579" width="11.42578125" style="228" customWidth="1"/>
    <col min="13580" max="13580" width="19" style="228" bestFit="1" customWidth="1"/>
    <col min="13581" max="13824" width="11.42578125" style="228"/>
    <col min="13825" max="13835" width="11.42578125" style="228" customWidth="1"/>
    <col min="13836" max="13836" width="19" style="228" bestFit="1" customWidth="1"/>
    <col min="13837" max="14080" width="11.42578125" style="228"/>
    <col min="14081" max="14091" width="11.42578125" style="228" customWidth="1"/>
    <col min="14092" max="14092" width="19" style="228" bestFit="1" customWidth="1"/>
    <col min="14093" max="14336" width="11.42578125" style="228"/>
    <col min="14337" max="14347" width="11.42578125" style="228" customWidth="1"/>
    <col min="14348" max="14348" width="19" style="228" bestFit="1" customWidth="1"/>
    <col min="14349" max="14592" width="11.42578125" style="228"/>
    <col min="14593" max="14603" width="11.42578125" style="228" customWidth="1"/>
    <col min="14604" max="14604" width="19" style="228" bestFit="1" customWidth="1"/>
    <col min="14605" max="14848" width="11.42578125" style="228"/>
    <col min="14849" max="14859" width="11.42578125" style="228" customWidth="1"/>
    <col min="14860" max="14860" width="19" style="228" bestFit="1" customWidth="1"/>
    <col min="14861" max="15104" width="11.42578125" style="228"/>
    <col min="15105" max="15115" width="11.42578125" style="228" customWidth="1"/>
    <col min="15116" max="15116" width="19" style="228" bestFit="1" customWidth="1"/>
    <col min="15117" max="15360" width="11.42578125" style="228"/>
    <col min="15361" max="15371" width="11.42578125" style="228" customWidth="1"/>
    <col min="15372" max="15372" width="19" style="228" bestFit="1" customWidth="1"/>
    <col min="15373" max="15616" width="11.42578125" style="228"/>
    <col min="15617" max="15627" width="11.42578125" style="228" customWidth="1"/>
    <col min="15628" max="15628" width="19" style="228" bestFit="1" customWidth="1"/>
    <col min="15629" max="15872" width="11.42578125" style="228"/>
    <col min="15873" max="15883" width="11.42578125" style="228" customWidth="1"/>
    <col min="15884" max="15884" width="19" style="228" bestFit="1" customWidth="1"/>
    <col min="15885" max="16128" width="11.42578125" style="228"/>
    <col min="16129" max="16139" width="11.42578125" style="228" customWidth="1"/>
    <col min="16140" max="16140" width="19" style="228" bestFit="1" customWidth="1"/>
    <col min="16141" max="16384" width="11.42578125" style="228"/>
  </cols>
  <sheetData>
    <row r="1" spans="1:15" x14ac:dyDescent="0.2">
      <c r="A1" s="403" t="s">
        <v>400</v>
      </c>
    </row>
    <row r="2" spans="1:15" x14ac:dyDescent="0.2">
      <c r="B2" s="228" t="s">
        <v>371</v>
      </c>
      <c r="F2" s="228" t="s">
        <v>372</v>
      </c>
      <c r="J2" s="228" t="s">
        <v>373</v>
      </c>
      <c r="L2" s="228" t="s">
        <v>374</v>
      </c>
      <c r="M2" s="228" t="s">
        <v>375</v>
      </c>
    </row>
    <row r="3" spans="1:15" x14ac:dyDescent="0.2">
      <c r="A3" s="228" t="s">
        <v>376</v>
      </c>
      <c r="B3" s="228" t="s">
        <v>377</v>
      </c>
      <c r="C3" s="228" t="s">
        <v>378</v>
      </c>
      <c r="D3" s="228" t="s">
        <v>379</v>
      </c>
      <c r="E3" s="228" t="s">
        <v>380</v>
      </c>
      <c r="F3" s="228" t="s">
        <v>377</v>
      </c>
      <c r="G3" s="228" t="s">
        <v>378</v>
      </c>
      <c r="H3" s="228" t="s">
        <v>379</v>
      </c>
      <c r="I3" s="228" t="s">
        <v>380</v>
      </c>
      <c r="J3" s="398" t="s">
        <v>381</v>
      </c>
      <c r="L3" s="228"/>
    </row>
    <row r="4" spans="1:15" x14ac:dyDescent="0.2">
      <c r="A4" s="228" t="s">
        <v>382</v>
      </c>
      <c r="B4" s="395">
        <f>1-0.83</f>
        <v>0.17000000000000004</v>
      </c>
      <c r="C4" s="228">
        <v>4</v>
      </c>
      <c r="D4" s="228" t="s">
        <v>383</v>
      </c>
      <c r="F4" s="395">
        <f>1-0.77</f>
        <v>0.22999999999999998</v>
      </c>
      <c r="G4" s="228">
        <v>1</v>
      </c>
      <c r="H4" s="399" t="s">
        <v>384</v>
      </c>
      <c r="J4" s="228" t="s">
        <v>385</v>
      </c>
      <c r="L4" s="400">
        <f>F4/B4</f>
        <v>1.3529411764705879</v>
      </c>
      <c r="M4" s="228">
        <f>G4+C4</f>
        <v>5</v>
      </c>
    </row>
    <row r="5" spans="1:15" x14ac:dyDescent="0.2">
      <c r="A5" s="228" t="s">
        <v>386</v>
      </c>
      <c r="B5" s="395">
        <v>0.5</v>
      </c>
      <c r="C5" s="228">
        <v>5</v>
      </c>
      <c r="D5" s="228" t="s">
        <v>387</v>
      </c>
      <c r="E5" s="228" t="s">
        <v>388</v>
      </c>
      <c r="F5" s="395">
        <v>0.39</v>
      </c>
      <c r="G5" s="228">
        <v>3</v>
      </c>
      <c r="H5" s="228" t="s">
        <v>387</v>
      </c>
      <c r="I5" s="228" t="s">
        <v>388</v>
      </c>
      <c r="J5" s="228" t="s">
        <v>389</v>
      </c>
      <c r="L5" s="400">
        <f t="shared" ref="L5:L11" si="0">F5/B5</f>
        <v>0.78</v>
      </c>
      <c r="M5" s="228">
        <f t="shared" ref="M5:M11" si="1">G5+C5</f>
        <v>8</v>
      </c>
    </row>
    <row r="6" spans="1:15" x14ac:dyDescent="0.2">
      <c r="A6" s="228" t="s">
        <v>386</v>
      </c>
      <c r="B6" s="395">
        <v>0.62</v>
      </c>
      <c r="C6" s="228">
        <v>1</v>
      </c>
      <c r="D6" s="228" t="s">
        <v>390</v>
      </c>
      <c r="E6" s="228" t="s">
        <v>388</v>
      </c>
      <c r="F6" s="395">
        <v>0.39</v>
      </c>
      <c r="G6" s="228">
        <v>4</v>
      </c>
      <c r="H6" s="228" t="s">
        <v>390</v>
      </c>
      <c r="I6" s="228" t="s">
        <v>388</v>
      </c>
      <c r="J6" s="228" t="s">
        <v>389</v>
      </c>
      <c r="L6" s="400">
        <f t="shared" si="0"/>
        <v>0.62903225806451613</v>
      </c>
      <c r="M6" s="228">
        <f t="shared" si="1"/>
        <v>5</v>
      </c>
    </row>
    <row r="7" spans="1:15" x14ac:dyDescent="0.2">
      <c r="A7" s="228" t="s">
        <v>386</v>
      </c>
      <c r="B7" s="395">
        <v>0.52</v>
      </c>
      <c r="C7" s="228">
        <v>2</v>
      </c>
      <c r="D7" s="228" t="s">
        <v>390</v>
      </c>
      <c r="E7" s="228" t="s">
        <v>391</v>
      </c>
      <c r="F7" s="395">
        <v>0.11</v>
      </c>
      <c r="G7" s="228">
        <v>5</v>
      </c>
      <c r="H7" s="228" t="s">
        <v>390</v>
      </c>
      <c r="I7" s="228" t="s">
        <v>391</v>
      </c>
      <c r="J7" s="228" t="s">
        <v>389</v>
      </c>
      <c r="L7" s="400">
        <f t="shared" si="0"/>
        <v>0.21153846153846154</v>
      </c>
      <c r="M7" s="228">
        <f t="shared" si="1"/>
        <v>7</v>
      </c>
    </row>
    <row r="8" spans="1:15" x14ac:dyDescent="0.2">
      <c r="A8" s="228" t="s">
        <v>392</v>
      </c>
      <c r="B8" s="395">
        <v>0.13</v>
      </c>
      <c r="C8" s="228">
        <v>7</v>
      </c>
      <c r="D8" s="228" t="s">
        <v>387</v>
      </c>
      <c r="E8" s="228" t="s">
        <v>388</v>
      </c>
      <c r="F8" s="395">
        <v>0.1</v>
      </c>
      <c r="G8" s="228">
        <v>3</v>
      </c>
      <c r="H8" s="228" t="s">
        <v>387</v>
      </c>
      <c r="I8" s="228" t="s">
        <v>388</v>
      </c>
      <c r="J8" s="228" t="s">
        <v>393</v>
      </c>
      <c r="L8" s="400">
        <f t="shared" si="0"/>
        <v>0.76923076923076927</v>
      </c>
      <c r="M8" s="228">
        <f t="shared" si="1"/>
        <v>10</v>
      </c>
    </row>
    <row r="9" spans="1:15" x14ac:dyDescent="0.2">
      <c r="A9" s="228" t="s">
        <v>392</v>
      </c>
      <c r="B9" s="395">
        <v>0.42</v>
      </c>
      <c r="C9" s="228">
        <v>1</v>
      </c>
      <c r="D9" s="228" t="s">
        <v>390</v>
      </c>
      <c r="E9" s="228" t="s">
        <v>388</v>
      </c>
      <c r="F9" s="395">
        <v>-0.08</v>
      </c>
      <c r="G9" s="228">
        <v>1</v>
      </c>
      <c r="H9" s="228" t="s">
        <v>390</v>
      </c>
      <c r="I9" s="228" t="s">
        <v>388</v>
      </c>
      <c r="J9" s="228" t="s">
        <v>393</v>
      </c>
      <c r="L9" s="400">
        <f t="shared" si="0"/>
        <v>-0.19047619047619049</v>
      </c>
      <c r="M9" s="228" t="s">
        <v>394</v>
      </c>
    </row>
    <row r="10" spans="1:15" x14ac:dyDescent="0.2">
      <c r="A10" s="228" t="s">
        <v>392</v>
      </c>
      <c r="B10" s="395">
        <v>-0.1</v>
      </c>
      <c r="C10" s="228">
        <v>1</v>
      </c>
      <c r="D10" s="228" t="s">
        <v>390</v>
      </c>
      <c r="E10" s="228" t="s">
        <v>391</v>
      </c>
      <c r="F10" s="395">
        <v>0.32</v>
      </c>
      <c r="G10" s="228">
        <v>1</v>
      </c>
      <c r="H10" s="228" t="s">
        <v>390</v>
      </c>
      <c r="I10" s="228" t="s">
        <v>391</v>
      </c>
      <c r="J10" s="228" t="s">
        <v>393</v>
      </c>
      <c r="L10" s="400">
        <f t="shared" si="0"/>
        <v>-3.1999999999999997</v>
      </c>
      <c r="M10" s="228" t="s">
        <v>394</v>
      </c>
    </row>
    <row r="11" spans="1:15" x14ac:dyDescent="0.2">
      <c r="A11" s="228" t="s">
        <v>395</v>
      </c>
      <c r="B11" s="395">
        <f>1-(0.76+0.69)/2</f>
        <v>0.27500000000000002</v>
      </c>
      <c r="C11" s="228">
        <v>2</v>
      </c>
      <c r="D11" s="228" t="s">
        <v>387</v>
      </c>
      <c r="E11" s="228" t="s">
        <v>388</v>
      </c>
      <c r="F11" s="395">
        <f>1-(0.88+0.48+0.64)/3</f>
        <v>0.33333333333333337</v>
      </c>
      <c r="G11" s="228">
        <v>3</v>
      </c>
      <c r="H11" s="228" t="s">
        <v>387</v>
      </c>
      <c r="I11" s="228" t="s">
        <v>388</v>
      </c>
      <c r="J11" s="228" t="s">
        <v>396</v>
      </c>
      <c r="L11" s="400">
        <f t="shared" si="0"/>
        <v>1.2121212121212122</v>
      </c>
      <c r="M11" s="228">
        <f t="shared" si="1"/>
        <v>5</v>
      </c>
    </row>
    <row r="12" spans="1:15" x14ac:dyDescent="0.2">
      <c r="O12" s="398" t="s">
        <v>397</v>
      </c>
    </row>
    <row r="13" spans="1:15" x14ac:dyDescent="0.2">
      <c r="A13" s="228" t="s">
        <v>398</v>
      </c>
      <c r="B13" s="400">
        <f>SUMPRODUCT(B4:B11,C4:C11)/SUM(C4:C11)</f>
        <v>0.28782608695652173</v>
      </c>
      <c r="C13" s="400"/>
      <c r="D13" s="400"/>
      <c r="E13" s="400"/>
      <c r="F13" s="400">
        <f>SUMPRODUCT(F4:F11,G4:G11)/SUM(G4:G11)</f>
        <v>0.24047619047619045</v>
      </c>
      <c r="L13" s="400">
        <f>SUMPRODUCT(L4:L11,M4:M11)/SUM(M4:M11)</f>
        <v>0.78458875390896254</v>
      </c>
      <c r="O13" s="401">
        <f>1-L13</f>
        <v>0.21541124609103746</v>
      </c>
    </row>
    <row r="14" spans="1:15" x14ac:dyDescent="0.2">
      <c r="O14" s="401">
        <f>1-(F13/B13)</f>
        <v>0.16450870378362836</v>
      </c>
    </row>
    <row r="17" spans="1:1" x14ac:dyDescent="0.2">
      <c r="A17" s="402" t="s">
        <v>399</v>
      </c>
    </row>
  </sheetData>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8"/>
  <sheetViews>
    <sheetView zoomScale="115" zoomScaleNormal="115" zoomScalePageLayoutView="115" workbookViewId="0">
      <pane xSplit="1" ySplit="7" topLeftCell="B36" activePane="bottomRight" state="frozen"/>
      <selection pane="topRight" activeCell="B1" sqref="B1"/>
      <selection pane="bottomLeft" activeCell="A6" sqref="A6"/>
      <selection pane="bottomRight" activeCell="F60" sqref="F60"/>
    </sheetView>
  </sheetViews>
  <sheetFormatPr defaultColWidth="17.140625" defaultRowHeight="12.75" customHeight="1" x14ac:dyDescent="0.2"/>
  <cols>
    <col min="1" max="1" width="31" style="533" customWidth="1"/>
    <col min="2" max="2" width="13" style="533" customWidth="1"/>
    <col min="3" max="3" width="16.42578125" style="533" customWidth="1"/>
    <col min="4" max="6" width="8.7109375" style="533" customWidth="1"/>
    <col min="7" max="7" width="0.42578125" style="533" customWidth="1"/>
    <col min="8" max="8" width="13.7109375" style="533" customWidth="1"/>
    <col min="9" max="11" width="8.7109375" style="533" customWidth="1"/>
    <col min="12" max="12" width="0.42578125" style="533" customWidth="1"/>
    <col min="13" max="13" width="17.140625" style="533"/>
    <col min="14" max="14" width="11.42578125" style="533" customWidth="1"/>
    <col min="15" max="18" width="9.42578125" style="533" customWidth="1"/>
    <col min="19" max="19" width="10.42578125" style="533" customWidth="1"/>
    <col min="20" max="20" width="11.28515625" style="533" customWidth="1"/>
    <col min="21" max="16384" width="17.140625" style="533"/>
  </cols>
  <sheetData>
    <row r="1" spans="1:13" ht="12.75" customHeight="1" x14ac:dyDescent="0.2">
      <c r="A1" s="531" t="s">
        <v>567</v>
      </c>
      <c r="B1" s="532"/>
      <c r="C1" s="532"/>
      <c r="D1" s="532"/>
      <c r="E1" s="532"/>
      <c r="F1" s="532"/>
      <c r="G1" s="532"/>
      <c r="H1" s="532"/>
      <c r="I1" s="532"/>
      <c r="J1" s="532"/>
      <c r="K1" s="532"/>
      <c r="L1" s="532"/>
    </row>
    <row r="2" spans="1:13" ht="12.75" customHeight="1" x14ac:dyDescent="0.2">
      <c r="A2" s="531"/>
      <c r="B2" s="532"/>
      <c r="C2" s="532"/>
      <c r="D2" s="532"/>
      <c r="E2" s="532"/>
      <c r="F2" s="532"/>
      <c r="G2" s="532"/>
      <c r="H2" s="532"/>
      <c r="I2" s="532"/>
      <c r="J2" s="532"/>
      <c r="K2" s="532"/>
      <c r="L2" s="532"/>
    </row>
    <row r="3" spans="1:13" ht="15.95" customHeight="1" thickBot="1" x14ac:dyDescent="0.25">
      <c r="A3" s="534" t="s">
        <v>568</v>
      </c>
      <c r="B3" s="535" t="s">
        <v>569</v>
      </c>
      <c r="C3" s="532"/>
      <c r="D3" s="532"/>
      <c r="E3" s="532"/>
      <c r="F3" s="532"/>
      <c r="G3" s="532"/>
      <c r="H3" s="535" t="s">
        <v>570</v>
      </c>
      <c r="I3" s="532"/>
      <c r="J3" s="532"/>
      <c r="K3" s="532"/>
      <c r="L3" s="532"/>
      <c r="M3" s="532"/>
    </row>
    <row r="4" spans="1:13" ht="12.75" customHeight="1" x14ac:dyDescent="0.2">
      <c r="A4" s="536"/>
      <c r="B4" s="537" t="s">
        <v>571</v>
      </c>
      <c r="C4" s="537" t="s">
        <v>572</v>
      </c>
      <c r="D4" s="537" t="s">
        <v>573</v>
      </c>
      <c r="E4" s="538" t="s">
        <v>574</v>
      </c>
      <c r="F4" s="539" t="s">
        <v>575</v>
      </c>
      <c r="G4" s="532"/>
      <c r="H4" s="540" t="s">
        <v>571</v>
      </c>
      <c r="I4" s="541" t="s">
        <v>572</v>
      </c>
      <c r="J4" s="541" t="s">
        <v>573</v>
      </c>
      <c r="K4" s="542" t="s">
        <v>574</v>
      </c>
      <c r="L4" s="543"/>
      <c r="M4" s="544" t="s">
        <v>575</v>
      </c>
    </row>
    <row r="5" spans="1:13" ht="12.75" customHeight="1" x14ac:dyDescent="0.2">
      <c r="A5" s="545" t="s">
        <v>576</v>
      </c>
      <c r="B5" s="546">
        <f>B43</f>
        <v>0.16871895988120669</v>
      </c>
      <c r="C5" s="547">
        <f>AVERAGE(D39:E39)/AVERAGE(D11:E11)</f>
        <v>0.27223647453543026</v>
      </c>
      <c r="D5" s="546">
        <f>H43</f>
        <v>0.12136976780049616</v>
      </c>
      <c r="E5" s="547">
        <f>AVERAGE(J41:K41)/AVERAGE(J13:K13)</f>
        <v>0.21342851300008586</v>
      </c>
      <c r="F5" s="548">
        <f>AVERAGE(B5:E5)</f>
        <v>0.19393842880430473</v>
      </c>
      <c r="G5" s="532"/>
      <c r="H5" s="549">
        <f>AVERAGE(B40:E40)</f>
        <v>0.25364725543224809</v>
      </c>
      <c r="I5" s="547">
        <f>AVERAGE(D40:E40)</f>
        <v>0.43806787486924459</v>
      </c>
      <c r="J5" s="547">
        <f>AVERAGE(H40:K40)</f>
        <v>0.12795554540452669</v>
      </c>
      <c r="K5" s="547">
        <f>AVERAGE(J40:K40)</f>
        <v>0.23251881518504558</v>
      </c>
      <c r="L5" s="550"/>
      <c r="M5" s="551">
        <f>AVERAGE(H5:K5)</f>
        <v>0.26304737272276624</v>
      </c>
    </row>
    <row r="6" spans="1:13" ht="14.1" customHeight="1" thickBot="1" x14ac:dyDescent="0.25">
      <c r="A6" s="552" t="s">
        <v>577</v>
      </c>
      <c r="B6" s="553">
        <f>B60</f>
        <v>0.32120489905717114</v>
      </c>
      <c r="C6" s="554">
        <f>AVERAGE(D56:E56)/AVERAGE(D11:E11)</f>
        <v>0.25280424569554921</v>
      </c>
      <c r="D6" s="555">
        <f>H60</f>
        <v>0.2584269321307669</v>
      </c>
      <c r="E6" s="556">
        <f>AVERAGE(J58:K58)/AVERAGE(J13:K13)</f>
        <v>0.16586411435840351</v>
      </c>
      <c r="F6" s="557">
        <f>AVERAGE(B6:E6)</f>
        <v>0.24957504781047271</v>
      </c>
      <c r="G6" s="532"/>
      <c r="H6" s="558">
        <f>AVERAGE(B57:E57)</f>
        <v>0.30633519947022769</v>
      </c>
      <c r="I6" s="559">
        <f>AVERAGE(D57:E57)</f>
        <v>0.17192681653698894</v>
      </c>
      <c r="J6" s="559">
        <f>AVERAGE(H57:K57)</f>
        <v>0.23920431201919812</v>
      </c>
      <c r="K6" s="559">
        <f>AVERAGE(J57:K57)</f>
        <v>0.14052600712280519</v>
      </c>
      <c r="L6" s="560"/>
      <c r="M6" s="561">
        <f>AVERAGE(H6:K6)</f>
        <v>0.21449808378730498</v>
      </c>
    </row>
    <row r="7" spans="1:13" ht="12.75" customHeight="1" x14ac:dyDescent="0.2">
      <c r="A7" s="532"/>
      <c r="B7" s="532"/>
      <c r="C7" s="532"/>
      <c r="D7" s="532"/>
      <c r="E7" s="532"/>
      <c r="F7" s="532"/>
      <c r="G7" s="532"/>
      <c r="H7" s="532"/>
      <c r="I7" s="532"/>
      <c r="J7" s="532"/>
      <c r="K7" s="532"/>
      <c r="L7" s="532"/>
    </row>
    <row r="8" spans="1:13" ht="12.75" customHeight="1" x14ac:dyDescent="0.2">
      <c r="C8" s="562"/>
    </row>
    <row r="9" spans="1:13" ht="12.75" customHeight="1" x14ac:dyDescent="0.2">
      <c r="B9" s="563" t="s">
        <v>578</v>
      </c>
      <c r="C9" s="564"/>
      <c r="D9" s="564"/>
      <c r="E9" s="564"/>
      <c r="F9" s="564"/>
      <c r="G9" s="564"/>
      <c r="H9" s="563" t="s">
        <v>579</v>
      </c>
      <c r="I9" s="564"/>
      <c r="J9" s="564"/>
      <c r="K9" s="564"/>
      <c r="L9" s="564"/>
    </row>
    <row r="10" spans="1:13" ht="12.75" customHeight="1" x14ac:dyDescent="0.2">
      <c r="A10" s="565" t="s">
        <v>580</v>
      </c>
      <c r="B10" s="566" t="s">
        <v>581</v>
      </c>
      <c r="C10" s="566" t="s">
        <v>582</v>
      </c>
      <c r="D10" s="566" t="s">
        <v>583</v>
      </c>
      <c r="E10" s="566" t="s">
        <v>584</v>
      </c>
      <c r="F10" s="566" t="s">
        <v>585</v>
      </c>
      <c r="G10" s="532"/>
      <c r="H10" s="566" t="s">
        <v>581</v>
      </c>
      <c r="I10" s="566" t="s">
        <v>582</v>
      </c>
      <c r="J10" s="566" t="s">
        <v>583</v>
      </c>
      <c r="K10" s="566" t="s">
        <v>584</v>
      </c>
      <c r="L10" s="532"/>
    </row>
    <row r="11" spans="1:13" s="569" customFormat="1" ht="12.75" customHeight="1" x14ac:dyDescent="0.2">
      <c r="A11" s="567" t="s">
        <v>586</v>
      </c>
      <c r="B11" s="568">
        <v>0.42</v>
      </c>
      <c r="C11" s="568">
        <v>0.55000000000000004</v>
      </c>
      <c r="D11" s="568">
        <v>0.77</v>
      </c>
      <c r="E11" s="568">
        <v>0.22</v>
      </c>
      <c r="F11" s="568">
        <v>0.92</v>
      </c>
      <c r="G11" s="567"/>
      <c r="H11" s="532">
        <v>2337</v>
      </c>
      <c r="I11" s="532">
        <v>161</v>
      </c>
      <c r="J11" s="532">
        <v>426</v>
      </c>
      <c r="K11" s="532">
        <v>91</v>
      </c>
      <c r="L11" s="567"/>
    </row>
    <row r="12" spans="1:13" ht="12.75" customHeight="1" x14ac:dyDescent="0.2">
      <c r="A12" s="567" t="s">
        <v>587</v>
      </c>
      <c r="B12" s="570"/>
      <c r="C12" s="570"/>
      <c r="D12" s="570"/>
      <c r="E12" s="570">
        <v>0.8</v>
      </c>
      <c r="F12" s="570"/>
      <c r="G12" s="532"/>
      <c r="H12" s="532"/>
      <c r="I12" s="532"/>
      <c r="J12" s="532"/>
      <c r="K12" s="532">
        <v>487</v>
      </c>
      <c r="L12" s="532"/>
    </row>
    <row r="13" spans="1:13" ht="12.75" customHeight="1" x14ac:dyDescent="0.2">
      <c r="A13" s="571" t="s">
        <v>588</v>
      </c>
      <c r="H13" s="533">
        <f>H11/5000</f>
        <v>0.46739999999999998</v>
      </c>
      <c r="I13" s="533">
        <f>I11/400</f>
        <v>0.40250000000000002</v>
      </c>
      <c r="J13" s="533">
        <f>J11/750</f>
        <v>0.56799999999999995</v>
      </c>
      <c r="K13" s="533">
        <f>K11/250</f>
        <v>0.36399999999999999</v>
      </c>
      <c r="L13" s="572"/>
    </row>
    <row r="14" spans="1:13" ht="12.75" customHeight="1" x14ac:dyDescent="0.2">
      <c r="A14" s="573" t="s">
        <v>589</v>
      </c>
      <c r="B14" s="572">
        <f>AVERAGE(B11:E11)</f>
        <v>0.49</v>
      </c>
      <c r="E14" s="572"/>
      <c r="F14" s="572"/>
      <c r="G14" s="572"/>
      <c r="H14" s="532">
        <f>AVERAGE(H13:K13)</f>
        <v>0.45047499999999996</v>
      </c>
      <c r="J14" s="532"/>
      <c r="K14" s="532"/>
      <c r="L14" s="572"/>
    </row>
    <row r="15" spans="1:13" ht="12.75" customHeight="1" x14ac:dyDescent="0.2">
      <c r="A15" s="562" t="s">
        <v>590</v>
      </c>
      <c r="B15" s="572"/>
      <c r="C15" s="572"/>
      <c r="D15" s="572"/>
      <c r="E15" s="572"/>
      <c r="F15" s="572"/>
      <c r="G15" s="572"/>
      <c r="H15" s="532"/>
      <c r="I15" s="532"/>
      <c r="J15" s="532"/>
      <c r="K15" s="532"/>
      <c r="L15" s="572"/>
    </row>
    <row r="16" spans="1:13" ht="12.75" customHeight="1" x14ac:dyDescent="0.2">
      <c r="A16" s="562" t="s">
        <v>591</v>
      </c>
      <c r="B16" s="572"/>
      <c r="C16" s="572"/>
      <c r="D16" s="572"/>
      <c r="E16" s="572"/>
      <c r="F16" s="572"/>
      <c r="G16" s="572"/>
      <c r="H16" s="532"/>
      <c r="I16" s="532"/>
      <c r="J16" s="532"/>
      <c r="K16" s="532"/>
      <c r="L16" s="572"/>
    </row>
    <row r="17" spans="1:20" ht="12.75" customHeight="1" x14ac:dyDescent="0.2">
      <c r="B17" s="563" t="s">
        <v>578</v>
      </c>
      <c r="C17" s="564"/>
      <c r="D17" s="564"/>
      <c r="E17" s="564"/>
      <c r="F17" s="564"/>
      <c r="G17" s="564"/>
      <c r="H17" s="563" t="s">
        <v>579</v>
      </c>
      <c r="I17" s="564"/>
      <c r="J17" s="564"/>
      <c r="K17" s="564"/>
      <c r="L17" s="564"/>
      <c r="M17" s="563" t="s">
        <v>592</v>
      </c>
      <c r="N17" s="564"/>
      <c r="O17" s="564"/>
      <c r="P17" s="564"/>
      <c r="Q17" s="564"/>
      <c r="R17" s="564"/>
      <c r="S17" s="564"/>
    </row>
    <row r="18" spans="1:20" s="575" customFormat="1" ht="12.75" customHeight="1" x14ac:dyDescent="0.2">
      <c r="A18" s="565" t="s">
        <v>576</v>
      </c>
      <c r="B18" s="574" t="s">
        <v>593</v>
      </c>
      <c r="C18" s="574" t="s">
        <v>594</v>
      </c>
      <c r="D18" s="574" t="s">
        <v>583</v>
      </c>
      <c r="E18" s="574" t="s">
        <v>584</v>
      </c>
      <c r="F18" s="574" t="s">
        <v>585</v>
      </c>
      <c r="G18" s="574"/>
      <c r="H18" s="574" t="s">
        <v>593</v>
      </c>
      <c r="I18" s="574" t="s">
        <v>594</v>
      </c>
      <c r="J18" s="574" t="s">
        <v>583</v>
      </c>
      <c r="K18" s="574" t="s">
        <v>595</v>
      </c>
      <c r="L18" s="574"/>
      <c r="M18" s="575" t="s">
        <v>576</v>
      </c>
      <c r="N18" s="575" t="s">
        <v>596</v>
      </c>
      <c r="O18" s="575" t="s">
        <v>597</v>
      </c>
      <c r="P18" s="575" t="s">
        <v>598</v>
      </c>
      <c r="Q18" s="575" t="s">
        <v>599</v>
      </c>
      <c r="R18" s="575" t="s">
        <v>600</v>
      </c>
      <c r="S18" s="534" t="s">
        <v>601</v>
      </c>
      <c r="T18" s="531" t="s">
        <v>602</v>
      </c>
    </row>
    <row r="19" spans="1:20" ht="12.75" customHeight="1" x14ac:dyDescent="0.25">
      <c r="A19" s="567" t="s">
        <v>603</v>
      </c>
      <c r="B19" s="604">
        <v>0.128</v>
      </c>
      <c r="C19" s="604">
        <v>6.4999999999999997E-3</v>
      </c>
      <c r="D19" s="604">
        <v>0.152</v>
      </c>
      <c r="E19" s="604">
        <v>0.39</v>
      </c>
      <c r="F19" s="576"/>
      <c r="G19" s="572"/>
      <c r="H19" s="532">
        <v>4.32</v>
      </c>
      <c r="I19" s="532">
        <v>0.15</v>
      </c>
      <c r="J19" s="532">
        <v>5.05</v>
      </c>
      <c r="K19" s="532">
        <v>16.32</v>
      </c>
      <c r="L19" s="572"/>
      <c r="M19" s="532" t="s">
        <v>603</v>
      </c>
      <c r="N19" s="577">
        <v>0.60000000000000009</v>
      </c>
      <c r="O19" s="577">
        <v>0.60000000000000009</v>
      </c>
      <c r="P19" s="577">
        <v>0.60000000000000009</v>
      </c>
      <c r="Q19" s="577">
        <v>0.60000000000000009</v>
      </c>
      <c r="R19" s="577">
        <f t="shared" ref="R19:R36" si="0">SUM(N19:Q19)</f>
        <v>2.4000000000000004</v>
      </c>
      <c r="S19" s="578">
        <f t="shared" ref="S19:S36" si="1">R19/$R$37</f>
        <v>1.0352717070595178E-2</v>
      </c>
      <c r="T19" s="579">
        <v>1E-3</v>
      </c>
    </row>
    <row r="20" spans="1:20" ht="12.75" customHeight="1" x14ac:dyDescent="0.25">
      <c r="A20" s="567" t="s">
        <v>333</v>
      </c>
      <c r="B20" s="604">
        <v>8.9999999999999998E-4</v>
      </c>
      <c r="C20" s="604">
        <v>0</v>
      </c>
      <c r="D20" s="604">
        <v>1.8E-3</v>
      </c>
      <c r="E20" s="604">
        <v>0.1051</v>
      </c>
      <c r="F20" s="576"/>
      <c r="G20" s="532"/>
      <c r="H20" s="532">
        <v>8.5000000000000006E-2</v>
      </c>
      <c r="I20" s="532">
        <v>0</v>
      </c>
      <c r="J20" s="532">
        <v>0.34100000000000003</v>
      </c>
      <c r="K20" s="532">
        <v>1.83</v>
      </c>
      <c r="L20" s="532"/>
      <c r="M20" s="532" t="s">
        <v>604</v>
      </c>
      <c r="N20" s="577">
        <v>4.6887999999999996</v>
      </c>
      <c r="O20" s="577">
        <v>4.6887999999999996</v>
      </c>
      <c r="P20" s="577">
        <v>4.6887999999999996</v>
      </c>
      <c r="Q20" s="577">
        <v>4.6887999999999996</v>
      </c>
      <c r="R20" s="577">
        <f t="shared" si="0"/>
        <v>18.755199999999999</v>
      </c>
      <c r="S20" s="578">
        <f t="shared" si="1"/>
        <v>8.0903033001011093E-2</v>
      </c>
      <c r="T20" s="579">
        <v>7.2999999999999995E-2</v>
      </c>
    </row>
    <row r="21" spans="1:20" ht="15" customHeight="1" x14ac:dyDescent="0.25">
      <c r="A21" s="569" t="s">
        <v>605</v>
      </c>
      <c r="B21" s="582">
        <v>4.2999999999999997E-2</v>
      </c>
      <c r="C21" s="582">
        <v>0.01</v>
      </c>
      <c r="D21" s="582">
        <v>3.5999999999999997E-2</v>
      </c>
      <c r="E21" s="582">
        <f>19%+3.8%</f>
        <v>0.22800000000000001</v>
      </c>
      <c r="H21" s="581" t="s">
        <v>606</v>
      </c>
      <c r="I21" s="581" t="s">
        <v>606</v>
      </c>
      <c r="J21" s="581" t="s">
        <v>606</v>
      </c>
      <c r="K21" s="581" t="s">
        <v>606</v>
      </c>
      <c r="M21" s="532" t="s">
        <v>607</v>
      </c>
      <c r="N21" s="577">
        <v>5.36</v>
      </c>
      <c r="O21" s="577">
        <v>9.6000000000000014</v>
      </c>
      <c r="P21" s="577">
        <v>16.8</v>
      </c>
      <c r="Q21" s="577">
        <v>16.8</v>
      </c>
      <c r="R21" s="577">
        <f t="shared" si="0"/>
        <v>48.56</v>
      </c>
      <c r="S21" s="578">
        <f t="shared" si="1"/>
        <v>0.20946997539504239</v>
      </c>
      <c r="T21" s="579">
        <v>0.28199999999999997</v>
      </c>
    </row>
    <row r="22" spans="1:20" ht="12.75" customHeight="1" x14ac:dyDescent="0.25">
      <c r="A22" s="567" t="s">
        <v>608</v>
      </c>
      <c r="B22" s="605" t="s">
        <v>606</v>
      </c>
      <c r="C22" s="605" t="s">
        <v>606</v>
      </c>
      <c r="D22" s="605" t="s">
        <v>606</v>
      </c>
      <c r="E22" s="605" t="s">
        <v>606</v>
      </c>
      <c r="F22" s="576"/>
      <c r="G22" s="532"/>
      <c r="H22" s="532">
        <v>0</v>
      </c>
      <c r="I22" s="532">
        <v>0</v>
      </c>
      <c r="J22" s="532">
        <v>218</v>
      </c>
      <c r="K22" s="532">
        <v>109</v>
      </c>
      <c r="L22" s="532"/>
      <c r="M22" s="532" t="s">
        <v>608</v>
      </c>
      <c r="N22" s="577">
        <v>3.44</v>
      </c>
      <c r="O22" s="577">
        <v>2.4000000000000004</v>
      </c>
      <c r="P22" s="577">
        <v>3.44</v>
      </c>
      <c r="Q22" s="577">
        <v>2.4000000000000004</v>
      </c>
      <c r="R22" s="577">
        <f t="shared" si="0"/>
        <v>11.68</v>
      </c>
      <c r="S22" s="578">
        <f t="shared" si="1"/>
        <v>5.0383223076896522E-2</v>
      </c>
      <c r="T22" s="579">
        <v>3.1E-2</v>
      </c>
    </row>
    <row r="23" spans="1:20" ht="12.75" customHeight="1" x14ac:dyDescent="0.25">
      <c r="A23" s="567" t="s">
        <v>609</v>
      </c>
      <c r="B23" s="604">
        <v>3.2000000000000001E-2</v>
      </c>
      <c r="C23" s="604">
        <v>1.0999999999999999E-2</v>
      </c>
      <c r="D23" s="604">
        <v>0.16700000000000001</v>
      </c>
      <c r="E23" s="604">
        <v>0.17199999999999999</v>
      </c>
      <c r="G23" s="532"/>
      <c r="H23" s="532">
        <v>146.69999999999999</v>
      </c>
      <c r="I23" s="532">
        <v>21.4</v>
      </c>
      <c r="J23" s="532">
        <v>57.2</v>
      </c>
      <c r="K23" s="532">
        <v>26</v>
      </c>
      <c r="L23" s="532"/>
      <c r="M23" s="532" t="s">
        <v>610</v>
      </c>
      <c r="N23" s="577">
        <v>0.44800000000000006</v>
      </c>
      <c r="O23" s="577">
        <v>2.6976</v>
      </c>
      <c r="P23" s="577">
        <v>2.3176000000000001</v>
      </c>
      <c r="Q23" s="577">
        <v>2.2760000000000002</v>
      </c>
      <c r="R23" s="577">
        <f t="shared" si="0"/>
        <v>7.7392000000000003</v>
      </c>
      <c r="S23" s="578">
        <f t="shared" si="1"/>
        <v>3.3384061646979248E-2</v>
      </c>
      <c r="T23" s="579">
        <v>1.7000000000000001E-2</v>
      </c>
    </row>
    <row r="24" spans="1:20" ht="12.75" customHeight="1" x14ac:dyDescent="0.25">
      <c r="A24" s="567" t="s">
        <v>611</v>
      </c>
      <c r="B24" s="604">
        <v>0.03</v>
      </c>
      <c r="C24" s="604">
        <v>3.0000000000000001E-3</v>
      </c>
      <c r="D24" s="604">
        <v>0.112</v>
      </c>
      <c r="E24" s="604">
        <v>0.111</v>
      </c>
      <c r="F24" s="576"/>
      <c r="G24" s="532"/>
      <c r="H24" s="532">
        <v>82.9</v>
      </c>
      <c r="I24" s="532">
        <v>13.8</v>
      </c>
      <c r="J24" s="532">
        <v>27.5</v>
      </c>
      <c r="K24" s="532">
        <v>2.36</v>
      </c>
      <c r="L24" s="532"/>
      <c r="M24" s="532" t="s">
        <v>611</v>
      </c>
      <c r="N24" s="577">
        <v>0.88000000000000012</v>
      </c>
      <c r="O24" s="577">
        <v>2.8800000000000003</v>
      </c>
      <c r="P24" s="577">
        <v>2.08</v>
      </c>
      <c r="Q24" s="577">
        <v>2.08</v>
      </c>
      <c r="R24" s="577">
        <f t="shared" si="0"/>
        <v>7.9200000000000008</v>
      </c>
      <c r="S24" s="578">
        <f t="shared" si="1"/>
        <v>3.4163966332964084E-2</v>
      </c>
      <c r="T24" s="579">
        <v>2.1000000000000001E-2</v>
      </c>
    </row>
    <row r="25" spans="1:20" ht="12.75" customHeight="1" x14ac:dyDescent="0.25">
      <c r="A25" s="567" t="s">
        <v>612</v>
      </c>
      <c r="B25" s="604">
        <v>1.0999999999999999E-2</v>
      </c>
      <c r="C25" s="604">
        <v>3.3000000000000002E-2</v>
      </c>
      <c r="D25" s="604">
        <v>0.152</v>
      </c>
      <c r="E25" s="606">
        <v>6.3E-2</v>
      </c>
      <c r="F25" s="576"/>
      <c r="G25" s="532"/>
      <c r="H25" s="532">
        <v>9.9</v>
      </c>
      <c r="I25" s="532">
        <v>1.1000000000000001</v>
      </c>
      <c r="J25" s="532">
        <v>24.4</v>
      </c>
      <c r="K25" s="532">
        <v>3</v>
      </c>
      <c r="L25" s="532"/>
      <c r="M25" s="532" t="s">
        <v>612</v>
      </c>
      <c r="N25" s="577">
        <v>1</v>
      </c>
      <c r="O25" s="577">
        <v>1.7600000000000002</v>
      </c>
      <c r="P25" s="577">
        <v>1.4400000000000002</v>
      </c>
      <c r="Q25" s="577">
        <v>1.7600000000000002</v>
      </c>
      <c r="R25" s="577">
        <f t="shared" si="0"/>
        <v>5.9600000000000009</v>
      </c>
      <c r="S25" s="578">
        <f t="shared" si="1"/>
        <v>2.5709247391978024E-2</v>
      </c>
      <c r="T25" s="579">
        <v>1.6E-2</v>
      </c>
    </row>
    <row r="26" spans="1:20" ht="12.75" customHeight="1" x14ac:dyDescent="0.25">
      <c r="A26" s="533" t="s">
        <v>613</v>
      </c>
      <c r="B26" s="579">
        <v>7.2999999999999995E-2</v>
      </c>
      <c r="C26" s="579">
        <v>1.8919999999999999E-2</v>
      </c>
      <c r="D26" s="579">
        <v>0.185</v>
      </c>
      <c r="E26" s="582">
        <v>0.13220000000000001</v>
      </c>
      <c r="H26" s="581" t="s">
        <v>606</v>
      </c>
      <c r="I26" s="581" t="s">
        <v>606</v>
      </c>
      <c r="J26" s="581" t="s">
        <v>606</v>
      </c>
      <c r="K26" s="581" t="s">
        <v>606</v>
      </c>
      <c r="L26" s="532"/>
      <c r="M26" s="533" t="s">
        <v>614</v>
      </c>
      <c r="N26" s="577">
        <v>10.64</v>
      </c>
      <c r="O26" s="577">
        <v>14.4</v>
      </c>
      <c r="P26" s="577">
        <v>16.880000000000003</v>
      </c>
      <c r="Q26" s="577">
        <v>17.2</v>
      </c>
      <c r="R26" s="577">
        <f t="shared" si="0"/>
        <v>59.120000000000005</v>
      </c>
      <c r="S26" s="578">
        <f t="shared" si="1"/>
        <v>0.25502193050566119</v>
      </c>
      <c r="T26" s="579">
        <v>0.22700000000000001</v>
      </c>
    </row>
    <row r="27" spans="1:20" ht="12.75" customHeight="1" x14ac:dyDescent="0.25">
      <c r="A27" s="562" t="s">
        <v>615</v>
      </c>
      <c r="B27" s="532"/>
      <c r="D27" s="532"/>
      <c r="E27" s="532"/>
      <c r="F27" s="532"/>
      <c r="G27" s="532"/>
      <c r="M27" s="533" t="s">
        <v>616</v>
      </c>
      <c r="N27" s="577">
        <v>2</v>
      </c>
      <c r="O27" s="577">
        <v>2</v>
      </c>
      <c r="P27" s="577">
        <v>2</v>
      </c>
      <c r="Q27" s="577">
        <v>2</v>
      </c>
      <c r="R27" s="577">
        <f t="shared" si="0"/>
        <v>8</v>
      </c>
      <c r="S27" s="578">
        <f t="shared" si="1"/>
        <v>3.4509056901983921E-2</v>
      </c>
      <c r="T27" s="579">
        <v>8.0000000000000002E-3</v>
      </c>
    </row>
    <row r="28" spans="1:20" ht="12.75" customHeight="1" x14ac:dyDescent="0.25">
      <c r="A28" s="562"/>
      <c r="B28" s="532"/>
      <c r="D28" s="532"/>
      <c r="E28" s="532"/>
      <c r="F28" s="532"/>
      <c r="G28" s="532"/>
      <c r="M28" s="533" t="s">
        <v>617</v>
      </c>
      <c r="N28" s="577">
        <v>1.7288000000000001</v>
      </c>
      <c r="O28" s="577">
        <v>1.5856000000000001</v>
      </c>
      <c r="P28" s="577">
        <v>2.1591999999999998</v>
      </c>
      <c r="Q28" s="577">
        <v>1.5856000000000001</v>
      </c>
      <c r="R28" s="577">
        <f t="shared" si="0"/>
        <v>7.0591999999999997</v>
      </c>
      <c r="S28" s="578">
        <f t="shared" si="1"/>
        <v>3.0450791810310608E-2</v>
      </c>
      <c r="T28" s="579">
        <v>4.0000000000000001E-3</v>
      </c>
    </row>
    <row r="29" spans="1:20" ht="12.75" customHeight="1" x14ac:dyDescent="0.25">
      <c r="A29" s="562"/>
      <c r="B29" s="572"/>
      <c r="D29" s="532"/>
      <c r="E29" s="532"/>
      <c r="F29" s="532"/>
      <c r="G29" s="532"/>
      <c r="M29" s="533" t="s">
        <v>618</v>
      </c>
      <c r="N29" s="577">
        <v>1.6</v>
      </c>
      <c r="O29" s="577">
        <v>1.6</v>
      </c>
      <c r="P29" s="577">
        <v>1.6</v>
      </c>
      <c r="Q29" s="577">
        <v>1.6</v>
      </c>
      <c r="R29" s="577">
        <f t="shared" si="0"/>
        <v>6.4</v>
      </c>
      <c r="S29" s="578">
        <f t="shared" si="1"/>
        <v>2.7607245521587137E-2</v>
      </c>
      <c r="T29" s="579">
        <v>0</v>
      </c>
    </row>
    <row r="30" spans="1:20" ht="12.75" customHeight="1" x14ac:dyDescent="0.25">
      <c r="A30" s="562"/>
      <c r="B30" s="532"/>
      <c r="D30" s="532"/>
      <c r="E30" s="532"/>
      <c r="F30" s="532"/>
      <c r="G30" s="532"/>
      <c r="M30" s="533" t="s">
        <v>619</v>
      </c>
      <c r="N30" s="577">
        <v>4.0351999999999997</v>
      </c>
      <c r="O30" s="577">
        <v>1.3448000000000002</v>
      </c>
      <c r="P30" s="577">
        <v>2.2608000000000001</v>
      </c>
      <c r="Q30" s="577">
        <v>3.0960000000000001</v>
      </c>
      <c r="R30" s="577">
        <f t="shared" si="0"/>
        <v>10.736800000000001</v>
      </c>
      <c r="S30" s="578">
        <f t="shared" si="1"/>
        <v>4.631460526815262E-2</v>
      </c>
      <c r="T30" s="579">
        <v>3.1E-2</v>
      </c>
    </row>
    <row r="31" spans="1:20" ht="12.75" customHeight="1" x14ac:dyDescent="0.25">
      <c r="A31" s="562"/>
      <c r="B31" s="532"/>
      <c r="D31" s="532"/>
      <c r="E31" s="532"/>
      <c r="F31" s="532"/>
      <c r="G31" s="532"/>
      <c r="M31" s="533" t="s">
        <v>620</v>
      </c>
      <c r="N31" s="577">
        <v>1.1248</v>
      </c>
      <c r="O31" s="577">
        <v>0.96</v>
      </c>
      <c r="P31" s="577">
        <v>1.1248</v>
      </c>
      <c r="Q31" s="577">
        <v>0.57920000000000005</v>
      </c>
      <c r="R31" s="577">
        <f t="shared" si="0"/>
        <v>3.7888000000000002</v>
      </c>
      <c r="S31" s="578">
        <f t="shared" si="1"/>
        <v>1.6343489348779584E-2</v>
      </c>
      <c r="T31" s="579">
        <v>1.0999999999999999E-2</v>
      </c>
    </row>
    <row r="32" spans="1:20" ht="12.75" customHeight="1" x14ac:dyDescent="0.25">
      <c r="A32" s="562"/>
      <c r="B32" s="532"/>
      <c r="D32" s="532"/>
      <c r="E32" s="532"/>
      <c r="F32" s="532"/>
      <c r="G32" s="532"/>
      <c r="M32" s="533" t="s">
        <v>621</v>
      </c>
      <c r="N32" s="577">
        <v>0.48</v>
      </c>
      <c r="O32" s="577">
        <v>0.96</v>
      </c>
      <c r="P32" s="577">
        <v>0.96</v>
      </c>
      <c r="Q32" s="577">
        <v>0.96</v>
      </c>
      <c r="R32" s="577">
        <f t="shared" si="0"/>
        <v>3.36</v>
      </c>
      <c r="S32" s="578">
        <f t="shared" si="1"/>
        <v>1.4493803898833245E-2</v>
      </c>
      <c r="T32" s="579">
        <v>2.4E-2</v>
      </c>
    </row>
    <row r="33" spans="1:20" ht="12.75" customHeight="1" x14ac:dyDescent="0.25">
      <c r="A33" s="569"/>
      <c r="B33" s="580"/>
      <c r="C33" s="580"/>
      <c r="D33" s="580"/>
      <c r="E33" s="580"/>
      <c r="M33" s="532" t="s">
        <v>622</v>
      </c>
      <c r="N33" s="577">
        <v>0.12</v>
      </c>
      <c r="O33" s="577">
        <v>0.16000000000000003</v>
      </c>
      <c r="P33" s="577">
        <v>0.16000000000000003</v>
      </c>
      <c r="Q33" s="577">
        <v>0.16000000000000003</v>
      </c>
      <c r="R33" s="577">
        <f t="shared" si="0"/>
        <v>0.60000000000000009</v>
      </c>
      <c r="S33" s="578">
        <f t="shared" si="1"/>
        <v>2.5881792676487945E-3</v>
      </c>
      <c r="T33" s="579">
        <v>4.0000000000000001E-3</v>
      </c>
    </row>
    <row r="34" spans="1:20" ht="12.75" customHeight="1" x14ac:dyDescent="0.2">
      <c r="A34" s="569"/>
      <c r="B34" s="580"/>
      <c r="C34" s="580"/>
      <c r="D34" s="580"/>
      <c r="E34" s="580"/>
      <c r="M34" s="532" t="s">
        <v>623</v>
      </c>
      <c r="N34" s="577">
        <v>0.25600000000000001</v>
      </c>
      <c r="O34" s="577">
        <v>0.48</v>
      </c>
      <c r="P34" s="577">
        <v>0.48</v>
      </c>
      <c r="Q34" s="577">
        <v>0.48</v>
      </c>
      <c r="R34" s="577">
        <f t="shared" si="0"/>
        <v>1.696</v>
      </c>
      <c r="S34" s="578">
        <f t="shared" si="1"/>
        <v>7.3159200632205903E-3</v>
      </c>
      <c r="T34" s="582">
        <v>4.0000000000000001E-3</v>
      </c>
    </row>
    <row r="35" spans="1:20" ht="12.75" customHeight="1" x14ac:dyDescent="0.25">
      <c r="M35" s="533" t="s">
        <v>624</v>
      </c>
      <c r="N35" s="577">
        <v>2.4800000000000004</v>
      </c>
      <c r="O35" s="577">
        <v>4.3680000000000003</v>
      </c>
      <c r="P35" s="577">
        <v>4.4000000000000004</v>
      </c>
      <c r="Q35" s="577">
        <v>4.4000000000000004</v>
      </c>
      <c r="R35" s="577">
        <f t="shared" si="0"/>
        <v>15.648000000000001</v>
      </c>
      <c r="S35" s="578">
        <f t="shared" si="1"/>
        <v>6.7499715300280552E-2</v>
      </c>
      <c r="T35" s="579">
        <v>0.109</v>
      </c>
    </row>
    <row r="36" spans="1:20" ht="12.75" customHeight="1" x14ac:dyDescent="0.25">
      <c r="M36" s="533" t="s">
        <v>625</v>
      </c>
      <c r="N36" s="577">
        <v>2</v>
      </c>
      <c r="O36" s="577">
        <v>2.4000000000000004</v>
      </c>
      <c r="P36" s="577">
        <v>4</v>
      </c>
      <c r="Q36" s="577">
        <v>4</v>
      </c>
      <c r="R36" s="577">
        <f t="shared" si="0"/>
        <v>12.4</v>
      </c>
      <c r="S36" s="578">
        <f t="shared" si="1"/>
        <v>5.348903819807508E-2</v>
      </c>
      <c r="T36" s="579">
        <v>0.13900000000000001</v>
      </c>
    </row>
    <row r="37" spans="1:20" ht="12.75" customHeight="1" x14ac:dyDescent="0.2">
      <c r="M37" s="583" t="s">
        <v>626</v>
      </c>
      <c r="N37" s="584">
        <f t="shared" ref="N37:T37" si="2">SUM(N19:N36)</f>
        <v>42.881599999999992</v>
      </c>
      <c r="O37" s="584">
        <f t="shared" si="2"/>
        <v>54.884799999999998</v>
      </c>
      <c r="P37" s="584">
        <f t="shared" si="2"/>
        <v>67.391199999999998</v>
      </c>
      <c r="Q37" s="584">
        <f t="shared" si="2"/>
        <v>66.665599999999984</v>
      </c>
      <c r="R37" s="584">
        <f t="shared" si="2"/>
        <v>231.82320000000004</v>
      </c>
      <c r="S37" s="578">
        <f t="shared" si="2"/>
        <v>0.99999999999999989</v>
      </c>
      <c r="T37" s="585">
        <f t="shared" si="2"/>
        <v>1.0020000000000002</v>
      </c>
    </row>
    <row r="38" spans="1:20" ht="12.75" customHeight="1" x14ac:dyDescent="0.2">
      <c r="M38" s="586" t="s">
        <v>627</v>
      </c>
      <c r="N38" s="587"/>
      <c r="O38" s="578"/>
    </row>
    <row r="39" spans="1:20" ht="12.75" customHeight="1" x14ac:dyDescent="0.25">
      <c r="A39" s="567" t="s">
        <v>628</v>
      </c>
      <c r="B39" s="588">
        <f t="array" ref="B39">SUM(IF(ISNUMBER(B$19:B$26),(B$19:B$26*$S$19:$S$26),0))/SUM(IF(ISNUMBER(B$19:B$26),$S$19:$S$26))</f>
        <v>4.8378339749452326E-2</v>
      </c>
      <c r="C39" s="588">
        <f t="array" ref="C39">SUM(IF(ISNUMBER(C$19:C$26),(C$19:C$26*$S$19:$S$26),0))/SUM(IF(ISNUMBER(C$19:C$26),$S$19:$S$26))</f>
        <v>1.2796711827636814E-2</v>
      </c>
      <c r="D39" s="588">
        <f t="array" ref="D39">SUM(IF(ISNUMBER(D$19:D$26),(D$19:D$26*$S$19:$S$26),0))/SUM(IF(ISNUMBER(D$19:D$26),$S$19:$S$26))</f>
        <v>0.10746994278665165</v>
      </c>
      <c r="E39" s="588">
        <f t="array" ref="E39">SUM(IF(ISNUMBER(E$19:E$26),(E$19:E$26*$S$19:$S$26),0))/SUM(IF(ISNUMBER(E$19:E$26),$S$19:$S$26))</f>
        <v>0.16204416700342431</v>
      </c>
      <c r="F39" s="532"/>
      <c r="G39" s="532"/>
      <c r="H39" s="589">
        <f t="array" ref="H39">SUM(IF(ISNUMBER(H$19:H$26),(H$19:H$26*$S$19:$S$26),0))/SUM(IF(ISNUMBER(H$19:H$26),$S$19:$S$26))</f>
        <v>34.209812834224607</v>
      </c>
      <c r="I39" s="589">
        <f t="array" ref="I39">SUM(IF(ISNUMBER(I$19:I$26),(I$19:I$26*$S$19:$S$26),0))/SUM(IF(ISNUMBER(I$19:I$26),$S$19:$S$26))</f>
        <v>5.1755391667156374</v>
      </c>
      <c r="J39" s="589">
        <f t="array" ref="J39">SUM(IF(ISNUMBER(J$19:J$26),(J$19:J$26*$S$19:$S$26),0))/SUM(IF(ISNUMBER(J$19:J$26),$S$19:$S$26))</f>
        <v>61.898795381089499</v>
      </c>
      <c r="K39" s="589">
        <f t="array" ref="K39">SUM(IF(ISNUMBER(K$19:K$26),(K$19:K$26*$S$19:$S$26),0))/SUM(IF(ISNUMBER(K$19:K$26),$S$19:$S$26))</f>
        <v>29.095911735323497</v>
      </c>
      <c r="M39" s="586"/>
      <c r="N39" s="587"/>
      <c r="O39" s="578"/>
    </row>
    <row r="40" spans="1:20" s="585" customFormat="1" ht="12.75" customHeight="1" x14ac:dyDescent="0.25">
      <c r="A40" s="590" t="s">
        <v>629</v>
      </c>
      <c r="B40" s="588">
        <f>B39/B$11</f>
        <v>0.11518652321298173</v>
      </c>
      <c r="C40" s="588">
        <f>C39/C$11</f>
        <v>2.3266748777521478E-2</v>
      </c>
      <c r="D40" s="588">
        <f>D39/D$11</f>
        <v>0.13957135426837874</v>
      </c>
      <c r="E40" s="588">
        <f>E39/E$11</f>
        <v>0.73656439547011043</v>
      </c>
      <c r="F40" s="570"/>
      <c r="G40" s="570"/>
      <c r="H40" s="591">
        <f>H39/H$11</f>
        <v>1.4638345243570649E-2</v>
      </c>
      <c r="I40" s="591">
        <f>I39/I$11</f>
        <v>3.2146206004444955E-2</v>
      </c>
      <c r="J40" s="591">
        <f>J39/J$11</f>
        <v>0.14530233657532746</v>
      </c>
      <c r="K40" s="591">
        <f>K39/K$11</f>
        <v>0.31973529379476373</v>
      </c>
      <c r="M40" s="592"/>
      <c r="N40" s="578"/>
      <c r="O40" s="578"/>
    </row>
    <row r="41" spans="1:20" ht="12.75" customHeight="1" x14ac:dyDescent="0.2">
      <c r="A41" s="593" t="s">
        <v>588</v>
      </c>
      <c r="H41" s="533">
        <f>H39/5000</f>
        <v>6.8419625668449217E-3</v>
      </c>
      <c r="I41" s="533">
        <f>I39/400</f>
        <v>1.2938847916789094E-2</v>
      </c>
      <c r="J41" s="533">
        <f>J39/750</f>
        <v>8.2531727174786004E-2</v>
      </c>
      <c r="K41" s="533">
        <f>K39/250</f>
        <v>0.11638364694129399</v>
      </c>
      <c r="M41" s="586"/>
      <c r="N41" s="587"/>
      <c r="O41" s="578"/>
    </row>
    <row r="42" spans="1:20" ht="12.75" customHeight="1" x14ac:dyDescent="0.25">
      <c r="A42" s="573" t="s">
        <v>630</v>
      </c>
      <c r="B42" s="572">
        <f>AVERAGE(B39:E39)</f>
        <v>8.2672290341791271E-2</v>
      </c>
      <c r="C42" s="572"/>
      <c r="D42" s="572"/>
      <c r="E42" s="572"/>
      <c r="F42" s="572"/>
      <c r="G42" s="572"/>
      <c r="H42" s="594">
        <f>AVERAGE(H41:K41)</f>
        <v>5.4674046149928504E-2</v>
      </c>
      <c r="I42" s="595"/>
      <c r="J42" s="595"/>
      <c r="K42" s="595"/>
      <c r="M42" s="586"/>
      <c r="N42" s="587"/>
      <c r="O42" s="578"/>
    </row>
    <row r="43" spans="1:20" ht="12.75" customHeight="1" x14ac:dyDescent="0.25">
      <c r="A43" s="573" t="s">
        <v>631</v>
      </c>
      <c r="B43" s="572">
        <f>B42/B14</f>
        <v>0.16871895988120669</v>
      </c>
      <c r="C43" s="572"/>
      <c r="D43" s="572"/>
      <c r="G43" s="572"/>
      <c r="H43" s="576">
        <f>H42/H14</f>
        <v>0.12136976780049616</v>
      </c>
      <c r="I43" s="595"/>
      <c r="J43" s="595"/>
      <c r="K43" s="595"/>
      <c r="M43" s="586"/>
      <c r="N43" s="587"/>
      <c r="O43" s="578"/>
    </row>
    <row r="44" spans="1:20" ht="12.75" customHeight="1" x14ac:dyDescent="0.2">
      <c r="A44" s="562" t="s">
        <v>632</v>
      </c>
      <c r="B44" s="572"/>
      <c r="C44" s="572"/>
      <c r="D44" s="572"/>
      <c r="F44" s="596"/>
      <c r="G44" s="572"/>
      <c r="H44" s="572"/>
      <c r="I44" s="570"/>
      <c r="J44" s="570"/>
      <c r="K44" s="570"/>
      <c r="M44" s="586"/>
    </row>
    <row r="46" spans="1:20" ht="12.75" customHeight="1" x14ac:dyDescent="0.2">
      <c r="A46" s="533" t="s">
        <v>633</v>
      </c>
      <c r="L46" s="532"/>
    </row>
    <row r="47" spans="1:20" ht="12.75" customHeight="1" x14ac:dyDescent="0.2">
      <c r="B47" s="563" t="s">
        <v>578</v>
      </c>
      <c r="C47" s="564"/>
      <c r="D47" s="564"/>
      <c r="E47" s="564"/>
      <c r="F47" s="564"/>
      <c r="G47" s="564"/>
      <c r="H47" s="563" t="s">
        <v>579</v>
      </c>
      <c r="I47" s="564"/>
      <c r="J47" s="564"/>
      <c r="K47" s="564"/>
      <c r="L47" s="564"/>
      <c r="M47" s="563" t="s">
        <v>634</v>
      </c>
      <c r="N47" s="564"/>
      <c r="O47" s="564"/>
    </row>
    <row r="48" spans="1:20" s="575" customFormat="1" ht="12.75" customHeight="1" x14ac:dyDescent="0.2">
      <c r="A48" s="565" t="s">
        <v>577</v>
      </c>
      <c r="B48" s="574" t="s">
        <v>593</v>
      </c>
      <c r="C48" s="574" t="s">
        <v>594</v>
      </c>
      <c r="D48" s="574" t="s">
        <v>583</v>
      </c>
      <c r="E48" s="574" t="s">
        <v>584</v>
      </c>
      <c r="F48" s="574" t="s">
        <v>585</v>
      </c>
      <c r="G48" s="574"/>
      <c r="H48" s="574" t="s">
        <v>593</v>
      </c>
      <c r="I48" s="574" t="s">
        <v>594</v>
      </c>
      <c r="J48" s="574" t="s">
        <v>583</v>
      </c>
      <c r="K48" s="574" t="s">
        <v>584</v>
      </c>
      <c r="L48" s="574"/>
      <c r="M48" s="575" t="s">
        <v>635</v>
      </c>
      <c r="N48" s="575" t="s">
        <v>636</v>
      </c>
      <c r="O48" s="575" t="s">
        <v>637</v>
      </c>
    </row>
    <row r="49" spans="1:15" ht="12.75" customHeight="1" x14ac:dyDescent="0.25">
      <c r="A49" s="590" t="s">
        <v>638</v>
      </c>
      <c r="B49" s="588">
        <v>0.52110000000000001</v>
      </c>
      <c r="C49" s="588">
        <v>5.1768799999999997E-2</v>
      </c>
      <c r="D49" s="588">
        <v>0.42192000000000002</v>
      </c>
      <c r="E49" s="588">
        <v>0</v>
      </c>
      <c r="F49" s="604">
        <v>0.68159999999999998</v>
      </c>
      <c r="G49" s="572"/>
      <c r="H49" s="532">
        <v>1476.59</v>
      </c>
      <c r="I49" s="532">
        <v>6.4297000000000004</v>
      </c>
      <c r="J49" s="532">
        <v>133.00399999999999</v>
      </c>
      <c r="K49" s="532">
        <v>0</v>
      </c>
      <c r="L49" s="572"/>
      <c r="M49" s="567" t="s">
        <v>639</v>
      </c>
      <c r="N49" s="597">
        <f>16775003+16265432+16225546+18718184+361408+601956+1244973+1775866</f>
        <v>71968368</v>
      </c>
      <c r="O49" s="585">
        <f>N49/$N$54</f>
        <v>0.50395507971525422</v>
      </c>
    </row>
    <row r="50" spans="1:15" ht="12.75" customHeight="1" x14ac:dyDescent="0.2">
      <c r="A50" s="593" t="s">
        <v>640</v>
      </c>
      <c r="B50" s="608">
        <v>0.20200000000000001</v>
      </c>
      <c r="C50" s="608">
        <v>2E-3</v>
      </c>
      <c r="D50" s="608">
        <v>0.01</v>
      </c>
      <c r="E50" s="608">
        <v>0</v>
      </c>
      <c r="F50" s="608">
        <v>0.21099999999999999</v>
      </c>
      <c r="G50" s="572"/>
      <c r="H50" s="532" t="s">
        <v>606</v>
      </c>
      <c r="I50" s="598" t="s">
        <v>606</v>
      </c>
      <c r="J50" s="598" t="s">
        <v>606</v>
      </c>
      <c r="K50" s="598" t="s">
        <v>606</v>
      </c>
      <c r="L50" s="572"/>
      <c r="M50" s="569" t="s">
        <v>641</v>
      </c>
      <c r="N50" s="597">
        <f>6950363+6691558+7147529+3866056+4151147+4711239+567401</f>
        <v>34085293</v>
      </c>
      <c r="O50" s="585">
        <f>N50/$N$54</f>
        <v>0.23868064579334072</v>
      </c>
    </row>
    <row r="51" spans="1:15" ht="12.75" customHeight="1" x14ac:dyDescent="0.2">
      <c r="A51" s="573" t="s">
        <v>642</v>
      </c>
      <c r="B51" s="604">
        <v>0.1162</v>
      </c>
      <c r="C51" s="604">
        <v>5.61066E-2</v>
      </c>
      <c r="D51" s="604">
        <v>1.333E-2</v>
      </c>
      <c r="E51" s="604">
        <v>0</v>
      </c>
      <c r="F51" s="604">
        <v>0.15840000000000001</v>
      </c>
      <c r="G51" s="572"/>
      <c r="H51" s="532">
        <v>236.02</v>
      </c>
      <c r="I51" s="532">
        <v>11.6875</v>
      </c>
      <c r="J51" s="532">
        <v>1.5209999999999999</v>
      </c>
      <c r="K51" s="532">
        <v>0</v>
      </c>
      <c r="L51" s="572"/>
      <c r="M51" s="569" t="s">
        <v>643</v>
      </c>
      <c r="N51" s="599">
        <f>1954155+1704361+1828562+756266+159235+678156+1072193</f>
        <v>8152928</v>
      </c>
      <c r="O51" s="585">
        <f>N51/$N$54</f>
        <v>5.7090491202367241E-2</v>
      </c>
    </row>
    <row r="52" spans="1:15" ht="12.75" customHeight="1" x14ac:dyDescent="0.2">
      <c r="A52" s="573" t="s">
        <v>644</v>
      </c>
      <c r="B52" s="607">
        <v>2E-3</v>
      </c>
      <c r="C52" s="608">
        <v>3.0000000000000001E-5</v>
      </c>
      <c r="D52" s="608">
        <v>0.12</v>
      </c>
      <c r="E52" s="608">
        <v>0</v>
      </c>
      <c r="F52" s="608">
        <v>0.122</v>
      </c>
      <c r="G52" s="572"/>
      <c r="H52" s="532" t="s">
        <v>606</v>
      </c>
      <c r="I52" s="532" t="s">
        <v>606</v>
      </c>
      <c r="J52" s="532" t="s">
        <v>606</v>
      </c>
      <c r="K52" s="532" t="s">
        <v>606</v>
      </c>
      <c r="L52" s="572"/>
      <c r="M52" s="532" t="s">
        <v>644</v>
      </c>
      <c r="N52" s="599">
        <f>10073830</f>
        <v>10073830</v>
      </c>
      <c r="O52" s="585">
        <f>N52/$N$54</f>
        <v>7.0541516249026506E-2</v>
      </c>
    </row>
    <row r="53" spans="1:15" ht="12.75" customHeight="1" x14ac:dyDescent="0.2">
      <c r="A53" s="532" t="s">
        <v>645</v>
      </c>
      <c r="B53" s="607">
        <v>0.18</v>
      </c>
      <c r="C53" s="607">
        <v>6.6000000000000003E-2</v>
      </c>
      <c r="D53" s="607">
        <v>0.156</v>
      </c>
      <c r="E53" s="607">
        <f>0.021+0.16*0.148</f>
        <v>4.4679999999999997E-2</v>
      </c>
      <c r="F53" s="604" t="s">
        <v>606</v>
      </c>
      <c r="G53" s="572"/>
      <c r="H53" s="532">
        <v>1653</v>
      </c>
      <c r="I53" s="532">
        <v>33</v>
      </c>
      <c r="J53" s="532">
        <v>64</v>
      </c>
      <c r="K53" s="532">
        <v>12</v>
      </c>
      <c r="L53" s="572"/>
      <c r="M53" s="532" t="s">
        <v>645</v>
      </c>
      <c r="N53" s="599">
        <f>5953198+6405645+6167847</f>
        <v>18526690</v>
      </c>
      <c r="O53" s="585">
        <f>N53/$N$54</f>
        <v>0.12973226704001128</v>
      </c>
    </row>
    <row r="54" spans="1:15" ht="12.75" customHeight="1" x14ac:dyDescent="0.2">
      <c r="A54" s="562" t="s">
        <v>646</v>
      </c>
      <c r="B54" s="532"/>
      <c r="C54" s="532"/>
      <c r="D54" s="532"/>
      <c r="E54" s="532"/>
      <c r="F54" s="532"/>
      <c r="G54" s="532"/>
      <c r="H54" s="532"/>
      <c r="I54" s="532"/>
      <c r="J54" s="532"/>
      <c r="K54" s="532"/>
      <c r="L54" s="532"/>
      <c r="M54" s="583" t="s">
        <v>647</v>
      </c>
      <c r="N54" s="587">
        <f>SUM(N49:N53)</f>
        <v>142807109</v>
      </c>
      <c r="O54" s="578">
        <f>SUM(O49:O53)</f>
        <v>0.99999999999999989</v>
      </c>
    </row>
    <row r="55" spans="1:15" ht="12.75" customHeight="1" x14ac:dyDescent="0.2">
      <c r="A55" s="532"/>
      <c r="B55" s="572"/>
      <c r="C55" s="572"/>
      <c r="D55" s="572"/>
      <c r="E55" s="572"/>
      <c r="F55" s="572"/>
      <c r="G55" s="572"/>
      <c r="H55" s="532"/>
      <c r="I55" s="532"/>
      <c r="J55" s="532"/>
      <c r="K55" s="532"/>
      <c r="L55" s="572"/>
      <c r="M55" s="586" t="s">
        <v>648</v>
      </c>
    </row>
    <row r="56" spans="1:15" ht="12.75" customHeight="1" x14ac:dyDescent="0.2">
      <c r="A56" s="567" t="s">
        <v>628</v>
      </c>
      <c r="B56" s="572">
        <f t="array" ref="B56">SUM(IF(ISNUMBER(B$49:B$53),(B$49:B$53*$O$49:$O$53),0))/SUM(IF(ISNUMBER(B$49:B$53),$O$49:$O$53))</f>
        <v>0.34095128866728902</v>
      </c>
      <c r="C56" s="572">
        <f t="array" ref="C56">SUM(IF(ISNUMBER(C$49:C$53),(C$49:C$53*$O$49:$O$53),0))/SUM(IF(ISNUMBER(C$49:C$53),$O$49:$O$53))</f>
        <v>3.8334110246172691E-2</v>
      </c>
      <c r="D56" s="572">
        <f t="array" ref="D56">SUM(IF(ISNUMBER(D$49:D$53),(D$49:D$53*$O$49:$O$53),0))/SUM(IF(ISNUMBER(D$49:D$53),$O$49:$O$53))</f>
        <v>0.24447976554724601</v>
      </c>
      <c r="E56" s="572">
        <f t="array" ref="E56">SUM(IF(ISNUMBER(E$49:E$53),(E$49:E$53*$O$49:$O$53),0))/SUM(IF(ISNUMBER(E$49:E$53),$O$49:$O$53))</f>
        <v>5.7964376913477045E-3</v>
      </c>
      <c r="F56" s="572">
        <f t="array" ref="F56">SUM(IF(ISNUMBER(F$49:F$53),(F$49:F$53*$O$49:$O$53),0))/SUM(IF(ISNUMBER(F$49:F$53),$O$49:$O$53))</f>
        <v>0.47285057436924161</v>
      </c>
      <c r="G56" s="572"/>
      <c r="H56" s="600">
        <f t="array" ref="H56">SUM(IF(ISNUMBER(H$49:H$53),(H$49:H$53*$O$49:$O$53),0))/SUM(IF(ISNUMBER(H$49:H$53),$O$49:$O$53))</f>
        <v>1407.1918826774629</v>
      </c>
      <c r="I56" s="600">
        <f t="array" ref="I56">SUM(IF(ISNUMBER(I$49:I$53),(I$49:I$53*$O$49:$O$53),0))/SUM(IF(ISNUMBER(I$49:I$53),$O$49:$O$53))</f>
        <v>11.854303155561634</v>
      </c>
      <c r="J56" s="600">
        <f t="array" ref="J56">SUM(IF(ISNUMBER(J$49:J$53),(J$49:J$53*$O$49:$O$53),0))/SUM(IF(ISNUMBER(J$49:J$53),$O$49:$O$53))</f>
        <v>109.17799762237418</v>
      </c>
      <c r="K56" s="600">
        <f t="array" ref="K56">SUM(IF(ISNUMBER(K$49:K$53),(K$49:K$53*$O$49:$O$53),0))/SUM(IF(ISNUMBER(K$49:K$53),$O$49:$O$53))</f>
        <v>2.25367277138329</v>
      </c>
      <c r="L56" s="532"/>
    </row>
    <row r="57" spans="1:15" s="585" customFormat="1" ht="12.75" customHeight="1" x14ac:dyDescent="0.25">
      <c r="A57" s="590" t="s">
        <v>629</v>
      </c>
      <c r="B57" s="591">
        <f>B56/B$11</f>
        <v>0.81178878254116438</v>
      </c>
      <c r="C57" s="591">
        <f>C56/C$11</f>
        <v>6.9698382265768521E-2</v>
      </c>
      <c r="D57" s="591">
        <f>D56/D$11</f>
        <v>0.31750618902239741</v>
      </c>
      <c r="E57" s="591">
        <f>E56/E$11</f>
        <v>2.6347444051580474E-2</v>
      </c>
      <c r="F57" s="570"/>
      <c r="G57" s="570"/>
      <c r="H57" s="591">
        <f>H56/H$11</f>
        <v>0.60213602168483649</v>
      </c>
      <c r="I57" s="591">
        <f>I56/I$11</f>
        <v>7.362921214634556E-2</v>
      </c>
      <c r="J57" s="591">
        <f>J56/J$11</f>
        <v>0.25628637939524457</v>
      </c>
      <c r="K57" s="591">
        <f>K56/K$11</f>
        <v>2.4765634850365825E-2</v>
      </c>
      <c r="M57" s="592"/>
      <c r="N57" s="578"/>
      <c r="O57" s="578"/>
    </row>
    <row r="58" spans="1:15" ht="12.75" customHeight="1" x14ac:dyDescent="0.2">
      <c r="A58" s="593" t="s">
        <v>588</v>
      </c>
      <c r="H58" s="533">
        <f>H56/5000</f>
        <v>0.28143837653549258</v>
      </c>
      <c r="I58" s="533">
        <f>I56/400</f>
        <v>2.9635757888904088E-2</v>
      </c>
      <c r="J58" s="533">
        <f>J56/750</f>
        <v>0.14557066349649891</v>
      </c>
      <c r="K58" s="533">
        <f>K56/250</f>
        <v>9.0146910855331604E-3</v>
      </c>
      <c r="L58" s="532"/>
    </row>
    <row r="59" spans="1:15" ht="12.75" customHeight="1" x14ac:dyDescent="0.2">
      <c r="A59" s="573" t="s">
        <v>630</v>
      </c>
      <c r="B59" s="572">
        <f>AVERAGE(B56:E56)</f>
        <v>0.15739040053801387</v>
      </c>
      <c r="C59" s="572"/>
      <c r="D59" s="572"/>
      <c r="E59" s="572"/>
      <c r="F59" s="572"/>
      <c r="G59" s="532"/>
      <c r="H59" s="600">
        <f>AVERAGE(H58:K58)</f>
        <v>0.1164148722516072</v>
      </c>
      <c r="I59" s="572"/>
      <c r="J59" s="572"/>
      <c r="K59" s="572"/>
      <c r="L59" s="532"/>
    </row>
    <row r="60" spans="1:15" ht="12.75" customHeight="1" x14ac:dyDescent="0.2">
      <c r="A60" s="573" t="s">
        <v>631</v>
      </c>
      <c r="B60" s="572">
        <f>B59/B14</f>
        <v>0.32120489905717114</v>
      </c>
      <c r="H60" s="570">
        <f>H59/H14</f>
        <v>0.2584269321307669</v>
      </c>
    </row>
    <row r="61" spans="1:15" ht="12.75" customHeight="1" x14ac:dyDescent="0.2">
      <c r="A61" s="532"/>
      <c r="B61" s="570"/>
      <c r="C61" s="532"/>
      <c r="D61" s="532"/>
      <c r="E61" s="532"/>
      <c r="F61" s="532"/>
      <c r="G61" s="532"/>
      <c r="L61" s="532"/>
    </row>
    <row r="62" spans="1:15" ht="12.75" customHeight="1" x14ac:dyDescent="0.2">
      <c r="E62" s="601"/>
    </row>
    <row r="63" spans="1:15" ht="12.75" customHeight="1" x14ac:dyDescent="0.2">
      <c r="A63" s="571"/>
      <c r="B63" s="571"/>
      <c r="C63" s="571"/>
      <c r="D63" s="571"/>
      <c r="E63" s="571"/>
      <c r="F63" s="571"/>
      <c r="G63" s="571"/>
      <c r="H63" s="571"/>
      <c r="I63" s="571"/>
      <c r="J63" s="571"/>
      <c r="K63" s="571"/>
      <c r="L63" s="571"/>
    </row>
    <row r="64" spans="1:15" ht="12.75" customHeight="1" x14ac:dyDescent="0.2">
      <c r="A64" s="571"/>
      <c r="B64" s="571"/>
      <c r="C64" s="571"/>
      <c r="D64" s="571"/>
      <c r="E64" s="571"/>
      <c r="F64" s="571"/>
      <c r="G64" s="571"/>
      <c r="H64" s="571"/>
      <c r="I64" s="571"/>
      <c r="J64" s="571"/>
      <c r="K64" s="571"/>
      <c r="L64" s="571"/>
    </row>
    <row r="65" spans="1:12" ht="12.75" customHeight="1" x14ac:dyDescent="0.2">
      <c r="A65" s="571"/>
      <c r="B65" s="571"/>
      <c r="C65" s="571"/>
      <c r="D65" s="571"/>
      <c r="E65" s="571"/>
      <c r="F65" s="571"/>
      <c r="G65" s="571"/>
      <c r="H65" s="571"/>
      <c r="I65" s="571"/>
      <c r="J65" s="571"/>
      <c r="K65" s="571"/>
      <c r="L65" s="571"/>
    </row>
    <row r="66" spans="1:12" x14ac:dyDescent="0.2">
      <c r="A66" s="571"/>
      <c r="B66" s="571"/>
      <c r="C66" s="571"/>
      <c r="D66" s="571"/>
      <c r="E66" s="571"/>
      <c r="F66" s="571"/>
      <c r="G66" s="571"/>
      <c r="H66" s="571"/>
      <c r="I66" s="571"/>
      <c r="J66" s="571"/>
      <c r="K66" s="571"/>
      <c r="L66" s="571"/>
    </row>
    <row r="67" spans="1:12" x14ac:dyDescent="0.2">
      <c r="A67" s="571"/>
      <c r="B67" s="571"/>
      <c r="C67" s="571"/>
      <c r="D67" s="571"/>
      <c r="E67" s="571"/>
      <c r="F67" s="571"/>
      <c r="G67" s="571"/>
      <c r="H67" s="571"/>
      <c r="I67" s="571"/>
      <c r="J67" s="571"/>
      <c r="K67" s="571"/>
      <c r="L67" s="571"/>
    </row>
    <row r="68" spans="1:12" x14ac:dyDescent="0.2">
      <c r="A68" s="571"/>
      <c r="B68" s="571"/>
      <c r="C68" s="571"/>
      <c r="D68" s="571"/>
      <c r="E68" s="571"/>
      <c r="F68" s="571"/>
      <c r="G68" s="571"/>
      <c r="H68" s="571"/>
      <c r="I68" s="571"/>
      <c r="J68" s="571"/>
      <c r="K68" s="571"/>
      <c r="L68" s="571"/>
    </row>
    <row r="69" spans="1:12" x14ac:dyDescent="0.2">
      <c r="A69" s="571"/>
      <c r="B69" s="571"/>
      <c r="C69" s="571"/>
      <c r="D69" s="571"/>
      <c r="E69" s="571"/>
      <c r="F69" s="571"/>
      <c r="G69" s="571"/>
      <c r="H69" s="571"/>
      <c r="I69" s="571"/>
      <c r="J69" s="571"/>
      <c r="K69" s="571"/>
      <c r="L69" s="571"/>
    </row>
    <row r="70" spans="1:12" x14ac:dyDescent="0.2">
      <c r="A70" s="571"/>
      <c r="B70" s="571"/>
      <c r="C70" s="571"/>
      <c r="D70" s="571"/>
      <c r="E70" s="571"/>
      <c r="F70" s="571"/>
      <c r="G70" s="571"/>
      <c r="H70" s="571"/>
      <c r="I70" s="571"/>
      <c r="J70" s="571"/>
      <c r="K70" s="571"/>
      <c r="L70" s="571"/>
    </row>
    <row r="71" spans="1:12" x14ac:dyDescent="0.2">
      <c r="A71" s="571"/>
      <c r="B71" s="571"/>
      <c r="C71" s="571"/>
      <c r="D71" s="571"/>
      <c r="E71" s="571"/>
      <c r="F71" s="571"/>
      <c r="G71" s="571"/>
      <c r="H71" s="571"/>
      <c r="I71" s="571"/>
      <c r="J71" s="571"/>
      <c r="K71" s="571"/>
      <c r="L71" s="571"/>
    </row>
    <row r="72" spans="1:12" x14ac:dyDescent="0.2">
      <c r="A72" s="571"/>
      <c r="B72" s="571"/>
      <c r="C72" s="571"/>
      <c r="D72" s="571"/>
      <c r="E72" s="571"/>
      <c r="F72" s="571"/>
      <c r="G72" s="571"/>
      <c r="H72" s="571"/>
      <c r="I72" s="571"/>
      <c r="J72" s="571"/>
      <c r="K72" s="571"/>
      <c r="L72" s="571"/>
    </row>
    <row r="73" spans="1:12" x14ac:dyDescent="0.2">
      <c r="A73" s="571"/>
      <c r="B73" s="571"/>
      <c r="C73" s="571"/>
      <c r="D73" s="571"/>
      <c r="E73" s="571"/>
      <c r="F73" s="571"/>
      <c r="G73" s="571"/>
      <c r="H73" s="571"/>
      <c r="I73" s="571"/>
      <c r="J73" s="571"/>
      <c r="K73" s="571"/>
      <c r="L73" s="571"/>
    </row>
    <row r="74" spans="1:12" x14ac:dyDescent="0.2">
      <c r="A74" s="571"/>
      <c r="B74" s="571"/>
      <c r="C74" s="571"/>
      <c r="D74" s="571"/>
      <c r="E74" s="571"/>
      <c r="F74" s="571"/>
      <c r="G74" s="571"/>
      <c r="H74" s="571"/>
      <c r="I74" s="571"/>
      <c r="J74" s="571"/>
      <c r="K74" s="571"/>
      <c r="L74" s="571"/>
    </row>
    <row r="75" spans="1:12" x14ac:dyDescent="0.2">
      <c r="A75" s="571"/>
      <c r="B75" s="571"/>
      <c r="C75" s="571"/>
      <c r="D75" s="571"/>
      <c r="E75" s="571"/>
      <c r="F75" s="571"/>
      <c r="G75" s="571"/>
      <c r="H75" s="571"/>
      <c r="I75" s="571"/>
      <c r="J75" s="571"/>
      <c r="K75" s="571"/>
      <c r="L75" s="571"/>
    </row>
    <row r="76" spans="1:12" x14ac:dyDescent="0.2">
      <c r="A76" s="571"/>
      <c r="B76" s="571"/>
      <c r="C76" s="571"/>
      <c r="D76" s="571"/>
      <c r="E76" s="571"/>
      <c r="F76" s="571"/>
      <c r="G76" s="571"/>
      <c r="H76" s="571"/>
      <c r="I76" s="571"/>
      <c r="J76" s="571"/>
      <c r="K76" s="571"/>
      <c r="L76" s="571"/>
    </row>
    <row r="77" spans="1:12" x14ac:dyDescent="0.2">
      <c r="A77" s="571"/>
      <c r="B77" s="571"/>
      <c r="C77" s="571"/>
      <c r="D77" s="571"/>
      <c r="E77" s="571"/>
      <c r="F77" s="571"/>
      <c r="G77" s="571"/>
      <c r="H77" s="571"/>
      <c r="I77" s="571"/>
      <c r="J77" s="571"/>
      <c r="K77" s="571"/>
      <c r="L77" s="571"/>
    </row>
    <row r="78" spans="1:12" x14ac:dyDescent="0.2">
      <c r="A78" s="571"/>
      <c r="B78" s="571"/>
      <c r="C78" s="571"/>
      <c r="D78" s="571"/>
      <c r="E78" s="571"/>
      <c r="F78" s="571"/>
      <c r="G78" s="571"/>
      <c r="H78" s="571"/>
      <c r="I78" s="571"/>
      <c r="J78" s="571"/>
      <c r="K78" s="571"/>
      <c r="L78" s="571"/>
    </row>
    <row r="79" spans="1:12" x14ac:dyDescent="0.2">
      <c r="A79" s="532"/>
      <c r="B79" s="532"/>
      <c r="C79" s="532"/>
      <c r="D79" s="532"/>
      <c r="E79" s="532"/>
      <c r="F79" s="532"/>
      <c r="G79" s="532"/>
      <c r="H79" s="532"/>
      <c r="I79" s="532"/>
      <c r="J79" s="532"/>
      <c r="K79" s="532"/>
      <c r="L79" s="532"/>
    </row>
    <row r="80" spans="1:12" x14ac:dyDescent="0.2">
      <c r="A80" s="532"/>
      <c r="B80" s="532"/>
      <c r="C80" s="532"/>
      <c r="D80" s="532"/>
      <c r="E80" s="532"/>
      <c r="F80" s="532"/>
      <c r="G80" s="532"/>
      <c r="H80" s="532"/>
      <c r="I80" s="532"/>
      <c r="J80" s="532"/>
      <c r="K80" s="532"/>
      <c r="L80" s="532"/>
    </row>
    <row r="81" spans="1:12" x14ac:dyDescent="0.2">
      <c r="A81" s="532"/>
      <c r="B81" s="532"/>
      <c r="C81" s="532"/>
      <c r="D81" s="532"/>
      <c r="E81" s="532"/>
      <c r="F81" s="532"/>
      <c r="G81" s="532"/>
      <c r="H81" s="532"/>
      <c r="I81" s="532"/>
      <c r="J81" s="532"/>
      <c r="K81" s="532"/>
      <c r="L81" s="532"/>
    </row>
    <row r="82" spans="1:12" x14ac:dyDescent="0.2">
      <c r="A82" s="532"/>
      <c r="B82" s="532"/>
      <c r="C82" s="532"/>
      <c r="D82" s="532"/>
      <c r="E82" s="532"/>
      <c r="F82" s="532"/>
      <c r="G82" s="532"/>
      <c r="H82" s="532"/>
      <c r="I82" s="532"/>
      <c r="J82" s="532"/>
      <c r="K82" s="532"/>
      <c r="L82" s="532"/>
    </row>
    <row r="83" spans="1:12" x14ac:dyDescent="0.2">
      <c r="A83" s="532"/>
      <c r="B83" s="532"/>
      <c r="C83" s="532"/>
      <c r="D83" s="532"/>
      <c r="E83" s="532"/>
      <c r="F83" s="532"/>
      <c r="G83" s="532"/>
      <c r="H83" s="532"/>
      <c r="I83" s="532"/>
      <c r="J83" s="532"/>
      <c r="K83" s="532"/>
      <c r="L83" s="532"/>
    </row>
    <row r="84" spans="1:12" x14ac:dyDescent="0.2">
      <c r="A84" s="532"/>
      <c r="B84" s="532"/>
      <c r="C84" s="532"/>
      <c r="D84" s="532"/>
      <c r="E84" s="532"/>
      <c r="F84" s="532"/>
      <c r="G84" s="532"/>
      <c r="H84" s="532"/>
      <c r="I84" s="532"/>
      <c r="J84" s="532"/>
      <c r="K84" s="532"/>
      <c r="L84" s="532"/>
    </row>
    <row r="85" spans="1:12" x14ac:dyDescent="0.2">
      <c r="A85" s="532"/>
      <c r="B85" s="532"/>
      <c r="C85" s="532"/>
      <c r="D85" s="532"/>
      <c r="E85" s="532"/>
      <c r="F85" s="532"/>
      <c r="G85" s="532"/>
      <c r="H85" s="532"/>
      <c r="I85" s="532"/>
      <c r="J85" s="532"/>
      <c r="K85" s="532"/>
      <c r="L85" s="532"/>
    </row>
    <row r="86" spans="1:12" x14ac:dyDescent="0.2">
      <c r="A86" s="532"/>
      <c r="B86" s="532"/>
      <c r="C86" s="532"/>
      <c r="D86" s="532"/>
      <c r="E86" s="532"/>
      <c r="F86" s="532"/>
      <c r="G86" s="532"/>
      <c r="H86" s="532"/>
      <c r="I86" s="532"/>
      <c r="J86" s="532"/>
      <c r="K86" s="532"/>
      <c r="L86" s="532"/>
    </row>
    <row r="87" spans="1:12" x14ac:dyDescent="0.2">
      <c r="A87" s="532"/>
      <c r="B87" s="532"/>
      <c r="C87" s="532"/>
      <c r="D87" s="532"/>
      <c r="E87" s="532"/>
      <c r="F87" s="532"/>
      <c r="G87" s="532"/>
      <c r="H87" s="532"/>
      <c r="I87" s="532"/>
      <c r="J87" s="532"/>
      <c r="K87" s="532"/>
      <c r="L87" s="532"/>
    </row>
    <row r="88" spans="1:12" x14ac:dyDescent="0.2">
      <c r="A88" s="532"/>
      <c r="B88" s="532"/>
      <c r="C88" s="532"/>
      <c r="D88" s="532"/>
      <c r="E88" s="532"/>
      <c r="F88" s="532"/>
      <c r="G88" s="532"/>
      <c r="H88" s="532"/>
      <c r="I88" s="532"/>
      <c r="J88" s="532"/>
      <c r="K88" s="532"/>
      <c r="L88" s="532"/>
    </row>
    <row r="89" spans="1:12" x14ac:dyDescent="0.2">
      <c r="A89" s="532"/>
      <c r="B89" s="532"/>
      <c r="C89" s="532"/>
      <c r="D89" s="532"/>
      <c r="E89" s="532"/>
      <c r="F89" s="532"/>
      <c r="G89" s="532"/>
      <c r="H89" s="532"/>
      <c r="I89" s="532"/>
      <c r="J89" s="532"/>
      <c r="K89" s="532"/>
      <c r="L89" s="532"/>
    </row>
    <row r="90" spans="1:12" x14ac:dyDescent="0.2">
      <c r="A90" s="532"/>
      <c r="B90" s="532"/>
      <c r="C90" s="532"/>
      <c r="D90" s="532"/>
      <c r="E90" s="532"/>
      <c r="F90" s="532"/>
      <c r="G90" s="532"/>
      <c r="H90" s="532"/>
      <c r="I90" s="532"/>
      <c r="J90" s="532"/>
      <c r="K90" s="532"/>
      <c r="L90" s="532"/>
    </row>
    <row r="91" spans="1:12" x14ac:dyDescent="0.2">
      <c r="A91" s="532"/>
      <c r="B91" s="532"/>
      <c r="C91" s="532"/>
      <c r="D91" s="532"/>
      <c r="E91" s="532"/>
      <c r="F91" s="532"/>
      <c r="G91" s="532"/>
      <c r="H91" s="532"/>
      <c r="I91" s="532"/>
      <c r="J91" s="532"/>
      <c r="K91" s="532"/>
      <c r="L91" s="532"/>
    </row>
    <row r="92" spans="1:12" x14ac:dyDescent="0.2">
      <c r="A92" s="532"/>
      <c r="B92" s="532"/>
      <c r="C92" s="532"/>
      <c r="D92" s="532"/>
      <c r="E92" s="532"/>
      <c r="F92" s="532"/>
      <c r="G92" s="532"/>
      <c r="H92" s="532"/>
      <c r="I92" s="532"/>
      <c r="J92" s="532"/>
      <c r="K92" s="532"/>
      <c r="L92" s="532"/>
    </row>
    <row r="93" spans="1:12" x14ac:dyDescent="0.2">
      <c r="A93" s="532"/>
      <c r="B93" s="532"/>
      <c r="C93" s="532"/>
      <c r="D93" s="532"/>
      <c r="E93" s="532"/>
      <c r="F93" s="532"/>
      <c r="G93" s="532"/>
      <c r="H93" s="532"/>
      <c r="I93" s="532"/>
      <c r="J93" s="532"/>
      <c r="K93" s="532"/>
      <c r="L93" s="532"/>
    </row>
    <row r="94" spans="1:12" x14ac:dyDescent="0.2">
      <c r="A94" s="532"/>
      <c r="B94" s="532"/>
      <c r="C94" s="532"/>
      <c r="D94" s="532"/>
      <c r="E94" s="532"/>
      <c r="F94" s="532"/>
      <c r="G94" s="532"/>
      <c r="H94" s="532"/>
      <c r="I94" s="532"/>
      <c r="J94" s="532"/>
      <c r="K94" s="532"/>
      <c r="L94" s="532"/>
    </row>
    <row r="95" spans="1:12" x14ac:dyDescent="0.2">
      <c r="A95" s="532"/>
      <c r="B95" s="532"/>
      <c r="C95" s="532"/>
      <c r="D95" s="532"/>
      <c r="E95" s="532"/>
      <c r="F95" s="532"/>
      <c r="G95" s="532"/>
      <c r="H95" s="532"/>
      <c r="I95" s="532"/>
      <c r="J95" s="532"/>
      <c r="K95" s="532"/>
      <c r="L95" s="532"/>
    </row>
    <row r="96" spans="1:12" x14ac:dyDescent="0.2">
      <c r="A96" s="532"/>
      <c r="B96" s="532"/>
      <c r="C96" s="532"/>
      <c r="D96" s="532"/>
      <c r="E96" s="532"/>
      <c r="F96" s="532"/>
      <c r="G96" s="532"/>
      <c r="H96" s="532"/>
      <c r="I96" s="532"/>
      <c r="J96" s="532"/>
      <c r="K96" s="532"/>
      <c r="L96" s="532"/>
    </row>
    <row r="97" spans="1:12" x14ac:dyDescent="0.2">
      <c r="A97" s="532"/>
      <c r="B97" s="532"/>
      <c r="C97" s="532"/>
      <c r="D97" s="532"/>
      <c r="E97" s="532"/>
      <c r="F97" s="532"/>
      <c r="G97" s="532"/>
      <c r="H97" s="532"/>
      <c r="I97" s="532"/>
      <c r="J97" s="532"/>
      <c r="K97" s="532"/>
      <c r="L97" s="532"/>
    </row>
    <row r="98" spans="1:12" x14ac:dyDescent="0.2">
      <c r="A98" s="532"/>
      <c r="B98" s="532"/>
      <c r="C98" s="532"/>
      <c r="D98" s="532"/>
      <c r="E98" s="532"/>
      <c r="F98" s="532"/>
      <c r="G98" s="532"/>
      <c r="H98" s="532"/>
      <c r="I98" s="532"/>
      <c r="J98" s="532"/>
      <c r="K98" s="532"/>
      <c r="L98" s="532"/>
    </row>
    <row r="99" spans="1:12" x14ac:dyDescent="0.2">
      <c r="A99" s="532"/>
      <c r="B99" s="532"/>
      <c r="C99" s="532"/>
      <c r="D99" s="532"/>
      <c r="E99" s="532"/>
      <c r="F99" s="532"/>
      <c r="G99" s="532"/>
      <c r="H99" s="532"/>
      <c r="I99" s="532"/>
      <c r="J99" s="532"/>
      <c r="K99" s="532"/>
      <c r="L99" s="532"/>
    </row>
    <row r="100" spans="1:12" x14ac:dyDescent="0.2">
      <c r="A100" s="532"/>
      <c r="B100" s="532"/>
      <c r="C100" s="532"/>
      <c r="D100" s="532"/>
      <c r="E100" s="532"/>
      <c r="F100" s="532"/>
      <c r="G100" s="532"/>
      <c r="H100" s="532"/>
      <c r="I100" s="532"/>
      <c r="J100" s="532"/>
      <c r="K100" s="532"/>
      <c r="L100" s="532"/>
    </row>
    <row r="101" spans="1:12" x14ac:dyDescent="0.2">
      <c r="A101" s="532"/>
      <c r="B101" s="532"/>
      <c r="C101" s="532"/>
      <c r="D101" s="532"/>
      <c r="E101" s="532"/>
      <c r="F101" s="532"/>
      <c r="G101" s="532"/>
      <c r="H101" s="532"/>
      <c r="I101" s="532"/>
      <c r="J101" s="532"/>
      <c r="K101" s="532"/>
      <c r="L101" s="532"/>
    </row>
    <row r="102" spans="1:12" x14ac:dyDescent="0.2">
      <c r="A102" s="532"/>
      <c r="B102" s="532"/>
      <c r="C102" s="532"/>
      <c r="D102" s="532"/>
      <c r="E102" s="532"/>
      <c r="F102" s="532"/>
      <c r="G102" s="532"/>
      <c r="H102" s="532"/>
      <c r="I102" s="532"/>
      <c r="J102" s="532"/>
      <c r="K102" s="532"/>
      <c r="L102" s="532"/>
    </row>
    <row r="103" spans="1:12" x14ac:dyDescent="0.2">
      <c r="A103" s="532"/>
      <c r="B103" s="532"/>
      <c r="C103" s="532"/>
      <c r="D103" s="532"/>
      <c r="E103" s="532"/>
      <c r="F103" s="532"/>
      <c r="G103" s="532"/>
      <c r="H103" s="532"/>
      <c r="I103" s="532"/>
      <c r="J103" s="532"/>
      <c r="K103" s="532"/>
      <c r="L103" s="532"/>
    </row>
    <row r="104" spans="1:12" x14ac:dyDescent="0.2">
      <c r="A104" s="532"/>
      <c r="B104" s="532"/>
      <c r="C104" s="532"/>
      <c r="D104" s="532"/>
      <c r="E104" s="532"/>
      <c r="F104" s="532"/>
      <c r="G104" s="532"/>
      <c r="H104" s="532"/>
      <c r="I104" s="532"/>
      <c r="J104" s="532"/>
      <c r="K104" s="532"/>
      <c r="L104" s="532"/>
    </row>
    <row r="105" spans="1:12" x14ac:dyDescent="0.2">
      <c r="A105" s="532"/>
      <c r="B105" s="532"/>
      <c r="C105" s="532"/>
      <c r="D105" s="532"/>
      <c r="E105" s="532"/>
      <c r="F105" s="532"/>
      <c r="G105" s="532"/>
      <c r="H105" s="532"/>
      <c r="I105" s="532"/>
      <c r="J105" s="532"/>
      <c r="K105" s="532"/>
      <c r="L105" s="532"/>
    </row>
    <row r="106" spans="1:12" x14ac:dyDescent="0.2">
      <c r="A106" s="532"/>
      <c r="B106" s="532"/>
      <c r="C106" s="532"/>
      <c r="D106" s="532"/>
      <c r="E106" s="532"/>
      <c r="F106" s="532"/>
      <c r="G106" s="532"/>
      <c r="H106" s="532"/>
      <c r="I106" s="532"/>
      <c r="J106" s="532"/>
      <c r="K106" s="532"/>
      <c r="L106" s="532"/>
    </row>
    <row r="107" spans="1:12" x14ac:dyDescent="0.2">
      <c r="A107" s="532"/>
      <c r="B107" s="532"/>
      <c r="C107" s="532"/>
      <c r="D107" s="532"/>
      <c r="E107" s="532"/>
      <c r="F107" s="532"/>
      <c r="G107" s="532"/>
      <c r="H107" s="532"/>
      <c r="I107" s="532"/>
      <c r="J107" s="532"/>
      <c r="K107" s="532"/>
      <c r="L107" s="532"/>
    </row>
    <row r="108" spans="1:12" x14ac:dyDescent="0.2">
      <c r="A108" s="532"/>
      <c r="B108" s="532"/>
      <c r="C108" s="532"/>
      <c r="D108" s="532"/>
      <c r="E108" s="532"/>
      <c r="F108" s="532"/>
      <c r="G108" s="532"/>
      <c r="H108" s="532"/>
      <c r="I108" s="532"/>
      <c r="J108" s="532"/>
      <c r="K108" s="532"/>
      <c r="L108" s="532"/>
    </row>
  </sheetData>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3"/>
  <sheetViews>
    <sheetView topLeftCell="H1" workbookViewId="0">
      <selection activeCell="G9" sqref="G9"/>
    </sheetView>
  </sheetViews>
  <sheetFormatPr defaultColWidth="11.42578125" defaultRowHeight="15" x14ac:dyDescent="0.25"/>
  <cols>
    <col min="1" max="1" width="12.28515625" customWidth="1"/>
    <col min="2" max="2" width="19" customWidth="1"/>
    <col min="3" max="3" width="13" customWidth="1"/>
    <col min="5" max="5" width="14.42578125" customWidth="1"/>
    <col min="6" max="6" width="17" customWidth="1"/>
    <col min="7" max="7" width="16.7109375" style="231" customWidth="1"/>
    <col min="9" max="9" width="10.42578125" customWidth="1"/>
    <col min="11" max="11" width="12" customWidth="1"/>
    <col min="17" max="17" width="23.140625" customWidth="1"/>
  </cols>
  <sheetData>
    <row r="1" spans="1:24" ht="54" customHeight="1" x14ac:dyDescent="0.25">
      <c r="A1" s="767" t="s">
        <v>656</v>
      </c>
      <c r="B1" s="767"/>
      <c r="C1" s="767"/>
      <c r="D1" s="767"/>
      <c r="E1" s="767"/>
      <c r="F1" s="767"/>
      <c r="G1" s="767"/>
      <c r="H1" s="767"/>
      <c r="I1" s="767"/>
      <c r="J1" s="767"/>
      <c r="K1" s="767"/>
      <c r="L1" s="767"/>
      <c r="M1" s="767"/>
      <c r="N1" s="767"/>
      <c r="O1" s="510"/>
      <c r="P1" s="510"/>
      <c r="Q1" s="510"/>
      <c r="R1" s="510"/>
      <c r="S1" s="510"/>
    </row>
    <row r="2" spans="1:24" x14ac:dyDescent="0.25">
      <c r="C2" s="231"/>
      <c r="D2" s="231"/>
      <c r="E2" s="231"/>
    </row>
    <row r="3" spans="1:24" ht="14.1" customHeight="1" x14ac:dyDescent="0.25">
      <c r="C3" s="507"/>
      <c r="D3" s="507"/>
      <c r="J3" s="179"/>
      <c r="L3" s="511"/>
    </row>
    <row r="4" spans="1:24" ht="27" customHeight="1" x14ac:dyDescent="0.25">
      <c r="B4" s="508" t="s">
        <v>528</v>
      </c>
      <c r="C4" s="508" t="s">
        <v>529</v>
      </c>
      <c r="D4" s="508" t="s">
        <v>530</v>
      </c>
      <c r="H4" s="179" t="s">
        <v>526</v>
      </c>
      <c r="I4" s="776" t="s">
        <v>527</v>
      </c>
      <c r="J4" s="776"/>
      <c r="K4" s="777" t="s">
        <v>547</v>
      </c>
      <c r="L4" s="777"/>
      <c r="M4" s="777"/>
      <c r="N4" s="178"/>
      <c r="Q4" s="83" t="s">
        <v>657</v>
      </c>
      <c r="R4" s="231"/>
      <c r="S4" s="231"/>
      <c r="T4" s="231"/>
      <c r="U4" s="231"/>
    </row>
    <row r="5" spans="1:24" ht="32.1" customHeight="1" x14ac:dyDescent="0.25">
      <c r="B5" s="513" t="s">
        <v>0</v>
      </c>
      <c r="C5" s="525">
        <v>0.05</v>
      </c>
      <c r="D5" t="s">
        <v>531</v>
      </c>
      <c r="H5" s="231"/>
      <c r="I5" s="509" t="s">
        <v>525</v>
      </c>
      <c r="J5" s="509" t="s">
        <v>524</v>
      </c>
      <c r="K5" s="509" t="s">
        <v>525</v>
      </c>
      <c r="L5" s="509" t="s">
        <v>524</v>
      </c>
      <c r="M5" s="509" t="s">
        <v>195</v>
      </c>
      <c r="N5" s="509"/>
      <c r="Q5" s="778" t="s">
        <v>533</v>
      </c>
      <c r="R5" s="779">
        <f>VLOOKUP(C6,B14:C19,2)</f>
        <v>0.1658</v>
      </c>
      <c r="S5" s="768" t="s">
        <v>658</v>
      </c>
      <c r="T5" s="769"/>
      <c r="U5" s="769"/>
      <c r="V5" s="609"/>
      <c r="W5" s="609"/>
      <c r="X5" s="609"/>
    </row>
    <row r="6" spans="1:24" s="231" customFormat="1" ht="18.95" customHeight="1" x14ac:dyDescent="0.25">
      <c r="B6" s="770" t="s">
        <v>532</v>
      </c>
      <c r="C6" s="773">
        <v>0.04</v>
      </c>
      <c r="D6" s="768" t="s">
        <v>561</v>
      </c>
      <c r="E6" s="769"/>
      <c r="F6" s="769"/>
      <c r="H6" s="231">
        <v>0</v>
      </c>
      <c r="I6" s="231">
        <v>82.5</v>
      </c>
      <c r="J6" s="231">
        <v>80</v>
      </c>
      <c r="K6" s="523">
        <f t="shared" ref="K6:K15" si="0">(K*Const*EXP(discount*$H6)/(discount+B)^2)*(EXP(-1*(discount+B)*(I6+$H6))*(-1*(discount + B)*(I6+$H6)-1)-EXP(-1*(discount+B)*$H6)*(-1*(discount+B)*$H6-1))+((1-K)/discount)*(1-EXP(-1*discount*I6))</f>
        <v>20.366326387282754</v>
      </c>
      <c r="L6" s="523">
        <f t="shared" ref="L6:L15" si="1">(K*Const*EXP(discount*$H6)/(discount+B)^2)*(EXP(-1*(discount+B)*(J6+$H6))*(-1*(discount + B)*(J6+$H6)-1)-EXP(-1*(discount+B)*$H6)*(-1*(discount+B)*$H6-1))+((1-K)/discount)*(1-EXP(-1*discount*J6))</f>
        <v>20.343823678810296</v>
      </c>
      <c r="M6" s="524">
        <f>AVERAGE(K6:L6)</f>
        <v>20.355075033046525</v>
      </c>
      <c r="N6" s="509"/>
      <c r="Q6" s="778"/>
      <c r="R6" s="779"/>
      <c r="S6" s="768"/>
      <c r="T6" s="769"/>
      <c r="U6" s="769"/>
      <c r="V6" s="609"/>
      <c r="W6" s="609"/>
      <c r="X6" s="609"/>
    </row>
    <row r="7" spans="1:24" s="231" customFormat="1" ht="18.95" customHeight="1" x14ac:dyDescent="0.25">
      <c r="B7" s="771"/>
      <c r="C7" s="774"/>
      <c r="D7" s="768"/>
      <c r="E7" s="769"/>
      <c r="F7" s="769"/>
      <c r="H7" s="231">
        <v>5</v>
      </c>
      <c r="I7" s="231">
        <v>77.95</v>
      </c>
      <c r="J7" s="231">
        <v>75.38</v>
      </c>
      <c r="K7" s="523">
        <f t="shared" si="0"/>
        <v>24.172751187886071</v>
      </c>
      <c r="L7" s="523">
        <f t="shared" si="1"/>
        <v>24.143988310170052</v>
      </c>
      <c r="M7" s="524">
        <f t="shared" ref="M7:M10" si="2">AVERAGE(K7:L7)</f>
        <v>24.158369749028061</v>
      </c>
      <c r="N7" s="509"/>
      <c r="Q7" s="778"/>
      <c r="R7" s="779"/>
      <c r="S7" s="768"/>
      <c r="T7" s="769"/>
      <c r="U7" s="769"/>
      <c r="V7" s="609"/>
      <c r="W7" s="609"/>
      <c r="X7" s="609"/>
    </row>
    <row r="8" spans="1:24" s="231" customFormat="1" ht="18.95" customHeight="1" x14ac:dyDescent="0.25">
      <c r="B8" s="771"/>
      <c r="C8" s="774"/>
      <c r="D8" s="768"/>
      <c r="E8" s="769"/>
      <c r="F8" s="769"/>
      <c r="H8" s="231">
        <v>15</v>
      </c>
      <c r="I8" s="231">
        <v>68.02</v>
      </c>
      <c r="J8" s="231">
        <v>65.41</v>
      </c>
      <c r="K8" s="523">
        <f t="shared" si="0"/>
        <v>26.190344751097374</v>
      </c>
      <c r="L8" s="523">
        <f t="shared" si="1"/>
        <v>26.142369118721838</v>
      </c>
      <c r="M8" s="524">
        <f t="shared" si="2"/>
        <v>26.166356934909608</v>
      </c>
      <c r="N8" s="509"/>
      <c r="Q8" s="778"/>
      <c r="R8" s="779"/>
      <c r="S8" s="768"/>
      <c r="T8" s="769"/>
      <c r="U8" s="769"/>
      <c r="V8" s="609"/>
      <c r="W8" s="609"/>
      <c r="X8" s="609"/>
    </row>
    <row r="9" spans="1:24" s="231" customFormat="1" ht="18.95" customHeight="1" x14ac:dyDescent="0.25">
      <c r="B9" s="771"/>
      <c r="C9" s="774"/>
      <c r="D9" s="768"/>
      <c r="E9" s="769"/>
      <c r="F9" s="769"/>
      <c r="H9" s="231">
        <v>30</v>
      </c>
      <c r="I9" s="231">
        <v>53.27</v>
      </c>
      <c r="J9" s="231">
        <v>50.51</v>
      </c>
      <c r="K9" s="523">
        <f t="shared" si="0"/>
        <v>22.377738649338703</v>
      </c>
      <c r="L9" s="523">
        <f t="shared" si="1"/>
        <v>22.271767992778521</v>
      </c>
      <c r="M9" s="524">
        <f t="shared" si="2"/>
        <v>22.324753321058612</v>
      </c>
      <c r="N9" s="509"/>
      <c r="Q9" s="778" t="s">
        <v>545</v>
      </c>
      <c r="R9" s="779">
        <f>IF(C6&gt;0, 1, 0)</f>
        <v>1</v>
      </c>
      <c r="S9" s="768" t="s">
        <v>546</v>
      </c>
      <c r="T9" s="769"/>
      <c r="U9" s="769"/>
    </row>
    <row r="10" spans="1:24" ht="21.95" customHeight="1" x14ac:dyDescent="0.25">
      <c r="B10" s="772"/>
      <c r="C10" s="775"/>
      <c r="D10" s="768"/>
      <c r="E10" s="769"/>
      <c r="F10" s="769"/>
      <c r="G10" s="512"/>
      <c r="H10" s="231">
        <v>45</v>
      </c>
      <c r="I10" s="231">
        <v>38.72</v>
      </c>
      <c r="J10" s="231">
        <v>35.770000000000003</v>
      </c>
      <c r="K10" s="523">
        <f t="shared" si="0"/>
        <v>16.201415741602162</v>
      </c>
      <c r="L10" s="523">
        <f t="shared" si="1"/>
        <v>15.968102389670092</v>
      </c>
      <c r="M10" s="524">
        <f t="shared" si="2"/>
        <v>16.084759065636128</v>
      </c>
      <c r="N10" s="231"/>
      <c r="O10" s="231"/>
      <c r="P10" s="231"/>
      <c r="Q10" s="778"/>
      <c r="R10" s="779"/>
      <c r="S10" s="768"/>
      <c r="T10" s="769"/>
      <c r="U10" s="769"/>
    </row>
    <row r="11" spans="1:24" s="231" customFormat="1" ht="18" customHeight="1" x14ac:dyDescent="0.25">
      <c r="E11" s="609"/>
      <c r="F11" s="609"/>
      <c r="G11" s="512"/>
      <c r="H11" s="231">
        <v>60</v>
      </c>
      <c r="I11" s="231">
        <v>24.83</v>
      </c>
      <c r="J11" s="231">
        <v>21.81</v>
      </c>
      <c r="K11" s="523">
        <f t="shared" si="0"/>
        <v>10.168256744713309</v>
      </c>
      <c r="L11" s="523">
        <f t="shared" si="1"/>
        <v>9.7031887416429452</v>
      </c>
      <c r="M11" s="524">
        <f>AVERAGE(K11:L11)</f>
        <v>9.9357227431781272</v>
      </c>
      <c r="Q11" s="778"/>
      <c r="R11" s="779"/>
      <c r="S11" s="768"/>
      <c r="T11" s="769"/>
      <c r="U11" s="769"/>
    </row>
    <row r="12" spans="1:24" s="231" customFormat="1" ht="18" customHeight="1" x14ac:dyDescent="0.25">
      <c r="B12" t="s">
        <v>537</v>
      </c>
      <c r="C12"/>
      <c r="D12"/>
      <c r="E12"/>
      <c r="F12"/>
      <c r="G12" s="512"/>
      <c r="H12" s="231">
        <v>70</v>
      </c>
      <c r="I12" s="231">
        <v>16.2</v>
      </c>
      <c r="J12" s="231">
        <v>13.58</v>
      </c>
      <c r="K12" s="523">
        <f t="shared" si="0"/>
        <v>6.5497697271082984</v>
      </c>
      <c r="L12" s="523">
        <f t="shared" si="1"/>
        <v>5.961654769952597</v>
      </c>
      <c r="M12" s="524">
        <f>AVERAGE(K12:L12)</f>
        <v>6.2557122485304477</v>
      </c>
      <c r="Q12" s="778"/>
      <c r="R12" s="779"/>
      <c r="S12" s="768"/>
      <c r="T12" s="769"/>
      <c r="U12" s="769"/>
    </row>
    <row r="13" spans="1:24" s="231" customFormat="1" ht="30.95" customHeight="1" x14ac:dyDescent="0.25">
      <c r="B13" s="520" t="s">
        <v>532</v>
      </c>
      <c r="C13" s="521" t="s">
        <v>533</v>
      </c>
      <c r="D13" s="521" t="s">
        <v>534</v>
      </c>
      <c r="E13" s="521" t="s">
        <v>535</v>
      </c>
      <c r="F13" s="522" t="s">
        <v>536</v>
      </c>
      <c r="G13" s="512"/>
      <c r="H13" s="231">
        <v>80</v>
      </c>
      <c r="I13" s="231">
        <v>8.9</v>
      </c>
      <c r="J13" s="231">
        <v>7.45</v>
      </c>
      <c r="K13" s="523">
        <f t="shared" si="0"/>
        <v>3.4706603615989282</v>
      </c>
      <c r="L13" s="523">
        <f t="shared" si="1"/>
        <v>3.0564185172421459</v>
      </c>
      <c r="M13" s="524">
        <f>AVERAGE(K13:L13)</f>
        <v>3.263539439420537</v>
      </c>
    </row>
    <row r="14" spans="1:24" ht="18" customHeight="1" x14ac:dyDescent="0.25">
      <c r="B14" s="514">
        <v>0</v>
      </c>
      <c r="C14" s="515">
        <v>0</v>
      </c>
      <c r="D14" s="515">
        <v>1</v>
      </c>
      <c r="E14" s="515" t="s">
        <v>543</v>
      </c>
      <c r="F14" s="516" t="s">
        <v>544</v>
      </c>
      <c r="G14" s="512"/>
      <c r="H14" s="231">
        <v>90</v>
      </c>
      <c r="I14" s="231">
        <v>4.25</v>
      </c>
      <c r="J14" s="231">
        <v>3.54</v>
      </c>
      <c r="K14" s="523">
        <f t="shared" si="0"/>
        <v>1.4717659163838837</v>
      </c>
      <c r="L14" s="523">
        <f t="shared" si="1"/>
        <v>1.25903056007311</v>
      </c>
      <c r="M14" s="524">
        <f>AVERAGE(K14:L14)</f>
        <v>1.3653982382284968</v>
      </c>
    </row>
    <row r="15" spans="1:24" ht="18" customHeight="1" x14ac:dyDescent="0.25">
      <c r="B15" s="514">
        <v>0.02</v>
      </c>
      <c r="C15" s="515">
        <v>6.3399999999999998E-2</v>
      </c>
      <c r="D15" s="515">
        <v>1.17</v>
      </c>
      <c r="E15" s="515">
        <v>50</v>
      </c>
      <c r="F15" s="516" t="s">
        <v>538</v>
      </c>
      <c r="G15" s="512"/>
      <c r="H15" s="231">
        <v>100</v>
      </c>
      <c r="I15" s="231">
        <v>2</v>
      </c>
      <c r="J15" s="231">
        <v>1.46</v>
      </c>
      <c r="K15" s="523">
        <f t="shared" si="0"/>
        <v>0.56121420642827224</v>
      </c>
      <c r="L15" s="523">
        <f t="shared" si="1"/>
        <v>0.41843559429970822</v>
      </c>
      <c r="M15" s="524">
        <f>AVERAGE(K15:L15)</f>
        <v>0.48982490036399023</v>
      </c>
    </row>
    <row r="16" spans="1:24" x14ac:dyDescent="0.25">
      <c r="B16" s="514">
        <v>0.03</v>
      </c>
      <c r="C16" s="515">
        <v>0.1051</v>
      </c>
      <c r="D16" s="515">
        <v>1.29</v>
      </c>
      <c r="E16" s="515">
        <v>33.299999999999997</v>
      </c>
      <c r="F16" s="516" t="s">
        <v>539</v>
      </c>
    </row>
    <row r="17" spans="1:10" x14ac:dyDescent="0.25">
      <c r="B17" s="514">
        <v>0.04</v>
      </c>
      <c r="C17" s="515">
        <v>0.1658</v>
      </c>
      <c r="D17" s="515">
        <v>1.52</v>
      </c>
      <c r="E17" s="515">
        <v>25</v>
      </c>
      <c r="F17" s="516" t="s">
        <v>540</v>
      </c>
    </row>
    <row r="18" spans="1:10" x14ac:dyDescent="0.25">
      <c r="A18" s="287"/>
      <c r="B18" s="514">
        <v>0.05</v>
      </c>
      <c r="C18" s="515">
        <v>0.2487</v>
      </c>
      <c r="D18" s="515">
        <v>1.83</v>
      </c>
      <c r="E18" s="515">
        <v>20</v>
      </c>
      <c r="F18" s="516" t="s">
        <v>541</v>
      </c>
    </row>
    <row r="19" spans="1:10" x14ac:dyDescent="0.25">
      <c r="B19" s="517">
        <v>0.06</v>
      </c>
      <c r="C19" s="518">
        <v>0.35599999999999998</v>
      </c>
      <c r="D19" s="518">
        <v>2.1800000000000002</v>
      </c>
      <c r="E19" s="518">
        <v>16.7</v>
      </c>
      <c r="F19" s="519" t="s">
        <v>542</v>
      </c>
    </row>
    <row r="23" spans="1:10" x14ac:dyDescent="0.25">
      <c r="J23" s="83"/>
    </row>
    <row r="28" spans="1:10" x14ac:dyDescent="0.25">
      <c r="G28" s="511"/>
    </row>
    <row r="29" spans="1:10" x14ac:dyDescent="0.25">
      <c r="H29" s="231"/>
    </row>
    <row r="30" spans="1:10" x14ac:dyDescent="0.25">
      <c r="H30" s="231"/>
    </row>
    <row r="31" spans="1:10" x14ac:dyDescent="0.25">
      <c r="H31" s="231"/>
    </row>
    <row r="32" spans="1:10" x14ac:dyDescent="0.25">
      <c r="H32" s="231"/>
    </row>
    <row r="33" spans="8:8" x14ac:dyDescent="0.25">
      <c r="H33" s="231"/>
    </row>
  </sheetData>
  <mergeCells count="12">
    <mergeCell ref="S9:U12"/>
    <mergeCell ref="Q9:Q12"/>
    <mergeCell ref="R9:R12"/>
    <mergeCell ref="S5:U8"/>
    <mergeCell ref="R5:R8"/>
    <mergeCell ref="Q5:Q8"/>
    <mergeCell ref="A1:N1"/>
    <mergeCell ref="D6:F10"/>
    <mergeCell ref="B6:B10"/>
    <mergeCell ref="C6:C10"/>
    <mergeCell ref="I4:J4"/>
    <mergeCell ref="K4:M4"/>
  </mergeCells>
  <dataValidations count="2">
    <dataValidation type="decimal" allowBlank="1" showInputMessage="1" showErrorMessage="1" errorTitle="Invalid discount rate" error="Please choose a discount rate above 0 and below 1.  If trying to choose 0, please write '1E-10' instead." sqref="C5">
      <formula1>0.0000000000001</formula1>
      <formula2>1</formula2>
    </dataValidation>
    <dataValidation type="list" allowBlank="1" showInputMessage="1" showErrorMessage="1" sqref="C6">
      <formula1>$B$14:$B$19</formula1>
    </dataValidation>
  </dataValidation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workbookViewId="0"/>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41" t="s">
        <v>171</v>
      </c>
      <c r="S4" s="641"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 ca="1">(1-$D$11)*AT4</f>
        <v>106.38297872340425</v>
      </c>
      <c r="AV4" s="277"/>
      <c r="AW4" s="231"/>
      <c r="AX4" s="413">
        <f t="shared" ref="AX4:AX67" ca="1" si="0">IF(ISNUMBER(AS5),AU4+AV4,AU4+AV4+AW4*$D$16)</f>
        <v>106.38297872340425</v>
      </c>
      <c r="AY4" s="278">
        <f ca="1">IF(ISNUMBER(AS4),LN(AX4+$J$39)-LN($J$39),0)</f>
        <v>0.31632022465180309</v>
      </c>
      <c r="AZ4" s="231">
        <f ca="1">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36" t="s">
        <v>189</v>
      </c>
      <c r="R5" s="643">
        <f ca="1">D39/(1+D7)^G14</f>
        <v>0.19281631155046408</v>
      </c>
      <c r="S5" s="643">
        <f ca="1">R5*(1-1/(1+D7)^G17)/(1-1/(1+D7))</f>
        <v>3.0588520548674816</v>
      </c>
      <c r="T5" s="798">
        <f ca="1">S5*G11*G7*G9*G20*G8/G39</f>
        <v>7.165317308635212E-2</v>
      </c>
      <c r="U5" s="798"/>
      <c r="V5" s="799">
        <f ca="1">$G$15*$G$10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ca="1" si="1">IF(AS4&lt;$D$14,AS4+1,"")</f>
        <v>1</v>
      </c>
      <c r="AT5" s="277">
        <f ca="1">AT4-AU4</f>
        <v>106.38297872340425</v>
      </c>
      <c r="AU5" s="277"/>
      <c r="AV5" s="277">
        <f t="shared" ref="AV5:AV68" ca="1" si="2">$D$10*AT5</f>
        <v>11.702127659574467</v>
      </c>
      <c r="AW5" s="277">
        <f ca="1">AT5</f>
        <v>106.38297872340425</v>
      </c>
      <c r="AX5" s="413">
        <f t="shared" ca="1" si="0"/>
        <v>11.702127659574467</v>
      </c>
      <c r="AY5" s="278">
        <f t="shared" ref="AY5:AY68" ca="1" si="3">IF(ISNUMBER(AS5),LN(AX5+$J$39)-LN($J$39),0)</f>
        <v>4.0112287828466542E-2</v>
      </c>
      <c r="AZ5" s="231">
        <f t="shared" ref="AZ5:AZ68" ca="1" si="4">IF(ISNUMBER(AS5),AY5/(1+$D$7)^AS5,0)</f>
        <v>3.847701470356503E-2</v>
      </c>
      <c r="BA5" s="231">
        <f ca="1">SUM(AZ5:AZ111)</f>
        <v>0.55965981315075719</v>
      </c>
      <c r="BB5" s="232">
        <f ca="1">SUM(AZ5:AZ23)</f>
        <v>0.51581900564839833</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36" t="s">
        <v>190</v>
      </c>
      <c r="R6" s="643">
        <f ca="1">(M15*M11)/(1+D7)^G14</f>
        <v>0</v>
      </c>
      <c r="S6" s="643">
        <f ca="1">R6*(1-1/(1+D7)^G17)/(1-1/(1+D7))</f>
        <v>0</v>
      </c>
      <c r="T6" s="798">
        <f ca="1">S6*M8*M9*M14*(V39/U39)*G11</f>
        <v>0</v>
      </c>
      <c r="U6" s="798"/>
      <c r="V6" s="799">
        <v>0</v>
      </c>
      <c r="W6" s="811"/>
      <c r="X6" s="237"/>
      <c r="Y6" s="245"/>
      <c r="Z6" s="357" t="s">
        <v>42</v>
      </c>
      <c r="AA6" s="358"/>
      <c r="AB6" s="359">
        <f ca="1">$G$7*$G$8*$G$9*G$20*$J7</f>
        <v>1.0064924999999997E-2</v>
      </c>
      <c r="AC6" s="246"/>
      <c r="AD6" s="647" t="s">
        <v>669</v>
      </c>
      <c r="AE6" s="611">
        <f ca="1">M19</f>
        <v>30</v>
      </c>
      <c r="AF6" s="245"/>
      <c r="AG6" s="245"/>
      <c r="AH6" s="245"/>
      <c r="AI6" s="245"/>
      <c r="AJ6" s="245"/>
      <c r="AK6" s="245"/>
      <c r="AL6" s="245"/>
      <c r="AM6" s="245"/>
      <c r="AN6" s="245"/>
      <c r="AO6" s="245"/>
      <c r="AP6" s="245"/>
      <c r="AQ6" s="245"/>
      <c r="AS6" s="231">
        <f t="shared" ca="1" si="1"/>
        <v>2</v>
      </c>
      <c r="AT6" s="277">
        <f t="shared" ref="AT6:AT69" ca="1" si="5">IF(ISNUMBER(AS6),AW5,0)</f>
        <v>106.38297872340425</v>
      </c>
      <c r="AU6" s="277"/>
      <c r="AV6" s="277">
        <f t="shared" ca="1" si="2"/>
        <v>11.702127659574467</v>
      </c>
      <c r="AW6" s="277">
        <f t="shared" ref="AW6:AW69" ca="1" si="6">AT6</f>
        <v>106.38297872340425</v>
      </c>
      <c r="AX6" s="413">
        <f t="shared" ca="1" si="0"/>
        <v>11.702127659574467</v>
      </c>
      <c r="AY6" s="278">
        <f t="shared" ca="1" si="3"/>
        <v>4.0112287828466542E-2</v>
      </c>
      <c r="AZ6" s="231">
        <f t="shared" ca="1" si="4"/>
        <v>3.6908407389510817E-2</v>
      </c>
      <c r="BA6" s="231"/>
    </row>
    <row r="7" spans="1:54" ht="26.1" customHeight="1" x14ac:dyDescent="0.25">
      <c r="A7" s="245"/>
      <c r="B7" s="801" t="s">
        <v>45</v>
      </c>
      <c r="C7" s="299" t="s">
        <v>0</v>
      </c>
      <c r="D7" s="139">
        <f ca="1">Summary!U17</f>
        <v>4.2500000000000003E-2</v>
      </c>
      <c r="E7" s="233"/>
      <c r="F7" s="319" t="s">
        <v>662</v>
      </c>
      <c r="G7" s="335">
        <f ca="1">Summary!AA17</f>
        <v>0.71153846153846145</v>
      </c>
      <c r="H7" s="235"/>
      <c r="I7" s="319" t="s">
        <v>8</v>
      </c>
      <c r="J7" s="378">
        <f ca="1">Summary!AJ17</f>
        <v>0.24959999999999999</v>
      </c>
      <c r="K7" s="312"/>
      <c r="L7" s="319" t="s">
        <v>175</v>
      </c>
      <c r="M7" s="322"/>
      <c r="N7" s="243"/>
      <c r="O7" s="237"/>
      <c r="P7" s="245"/>
      <c r="Q7" s="246"/>
      <c r="R7" s="237"/>
      <c r="S7" s="237"/>
      <c r="T7" s="237"/>
      <c r="U7" s="316"/>
      <c r="V7" s="237"/>
      <c r="W7" s="243"/>
      <c r="X7" s="237"/>
      <c r="Y7" s="245"/>
      <c r="Z7" s="357" t="s">
        <v>32</v>
      </c>
      <c r="AA7" s="358"/>
      <c r="AB7" s="359">
        <f ca="1">$G$7*$G$8*$G$9*G$20*$J8</f>
        <v>7.8188660156249968E-3</v>
      </c>
      <c r="AC7" s="246"/>
      <c r="AD7" s="647" t="s">
        <v>411</v>
      </c>
      <c r="AE7" s="611">
        <f ca="1">G10</f>
        <v>3</v>
      </c>
      <c r="AF7" s="245"/>
      <c r="AG7" s="245"/>
      <c r="AH7" s="245"/>
      <c r="AI7" s="245"/>
      <c r="AJ7" s="245"/>
      <c r="AK7" s="245"/>
      <c r="AL7" s="245"/>
      <c r="AM7" s="245"/>
      <c r="AN7" s="245"/>
      <c r="AO7" s="245"/>
      <c r="AP7" s="245"/>
      <c r="AQ7" s="245"/>
      <c r="AS7" s="231">
        <f t="shared" ca="1" si="1"/>
        <v>3</v>
      </c>
      <c r="AT7" s="277">
        <f ca="1">IF(ISNUMBER(AS7),AW6,0)</f>
        <v>106.38297872340425</v>
      </c>
      <c r="AU7" s="277"/>
      <c r="AV7" s="277">
        <f t="shared" ca="1" si="2"/>
        <v>11.702127659574467</v>
      </c>
      <c r="AW7" s="277">
        <f t="shared" ca="1" si="6"/>
        <v>106.38297872340425</v>
      </c>
      <c r="AX7" s="413">
        <f t="shared" ca="1" si="0"/>
        <v>11.702127659574467</v>
      </c>
      <c r="AY7" s="278">
        <f t="shared" ca="1" si="3"/>
        <v>4.0112287828466542E-2</v>
      </c>
      <c r="AZ7" s="231">
        <f t="shared" ca="1" si="4"/>
        <v>3.5403748095454025E-2</v>
      </c>
      <c r="BA7" s="231"/>
    </row>
    <row r="8" spans="1:54" ht="24.95" customHeight="1" thickBot="1" x14ac:dyDescent="0.3">
      <c r="A8" s="245"/>
      <c r="B8" s="801"/>
      <c r="C8" s="293"/>
      <c r="D8" s="293"/>
      <c r="E8" s="272"/>
      <c r="F8" s="321" t="s">
        <v>6</v>
      </c>
      <c r="G8" s="244">
        <f ca="1">Summary!AB17</f>
        <v>0.32499999999999996</v>
      </c>
      <c r="H8" s="236"/>
      <c r="I8" s="644" t="s">
        <v>9</v>
      </c>
      <c r="J8" s="376">
        <f ca="1">Summary!AK17</f>
        <v>0.19389999999999999</v>
      </c>
      <c r="K8" s="313"/>
      <c r="L8" s="644" t="s">
        <v>169</v>
      </c>
      <c r="M8" s="645"/>
      <c r="N8" s="243"/>
      <c r="O8" s="237"/>
      <c r="P8" s="245"/>
      <c r="Q8" s="802" t="s">
        <v>191</v>
      </c>
      <c r="R8" s="237"/>
      <c r="S8" s="642" t="s">
        <v>306</v>
      </c>
      <c r="T8" s="803" t="s">
        <v>34</v>
      </c>
      <c r="U8" s="803"/>
      <c r="V8" s="803" t="s">
        <v>152</v>
      </c>
      <c r="W8" s="804"/>
      <c r="X8" s="237"/>
      <c r="Y8" s="245"/>
      <c r="Z8" s="357" t="s">
        <v>38</v>
      </c>
      <c r="AA8" s="358"/>
      <c r="AB8" s="359">
        <f ca="1">$G$7*$G$8*$G$9*G$20</f>
        <v>4.0324218749999988E-2</v>
      </c>
      <c r="AC8" s="371"/>
      <c r="AD8" s="372" t="s">
        <v>668</v>
      </c>
      <c r="AE8" s="373">
        <f ca="1">(AE7*M19)/S5</f>
        <v>29.422802536914151</v>
      </c>
      <c r="AF8" s="245"/>
      <c r="AG8" s="245"/>
      <c r="AH8" s="245"/>
      <c r="AI8" s="245"/>
      <c r="AJ8" s="245"/>
      <c r="AK8" s="245"/>
      <c r="AL8" s="245"/>
      <c r="AM8" s="245"/>
      <c r="AN8" s="245"/>
      <c r="AO8" s="245"/>
      <c r="AP8" s="245"/>
      <c r="AQ8" s="245"/>
      <c r="AS8" s="231">
        <f t="shared" ca="1" si="1"/>
        <v>4</v>
      </c>
      <c r="AT8" s="277">
        <f t="shared" ca="1" si="5"/>
        <v>106.38297872340425</v>
      </c>
      <c r="AU8" s="277"/>
      <c r="AV8" s="277">
        <f t="shared" ca="1" si="2"/>
        <v>11.702127659574467</v>
      </c>
      <c r="AW8" s="277">
        <f t="shared" ca="1" si="6"/>
        <v>106.38297872340425</v>
      </c>
      <c r="AX8" s="413">
        <f t="shared" ca="1" si="0"/>
        <v>11.702127659574467</v>
      </c>
      <c r="AY8" s="278">
        <f t="shared" ca="1" si="3"/>
        <v>4.0112287828466542E-2</v>
      </c>
      <c r="AZ8" s="231">
        <f t="shared" ca="1" si="4"/>
        <v>3.3960429827773649E-2</v>
      </c>
      <c r="BA8" s="231"/>
    </row>
    <row r="9" spans="1:54" ht="33.75" x14ac:dyDescent="0.25">
      <c r="A9" s="245"/>
      <c r="B9" s="801"/>
      <c r="C9" s="805" t="s">
        <v>14</v>
      </c>
      <c r="D9" s="805"/>
      <c r="E9" s="233"/>
      <c r="F9" s="644" t="s">
        <v>146</v>
      </c>
      <c r="G9" s="645">
        <f ca="1">Summary!AC17</f>
        <v>0.77500000000000002</v>
      </c>
      <c r="H9" s="236"/>
      <c r="I9" s="644" t="s">
        <v>164</v>
      </c>
      <c r="J9" s="376">
        <f ca="1">Summary!AL17</f>
        <v>1</v>
      </c>
      <c r="K9" s="313"/>
      <c r="L9" s="644" t="s">
        <v>170</v>
      </c>
      <c r="M9" s="645"/>
      <c r="N9" s="243"/>
      <c r="O9" s="237"/>
      <c r="P9" s="245"/>
      <c r="Q9" s="802"/>
      <c r="R9" s="639" t="s">
        <v>44</v>
      </c>
      <c r="S9" s="638">
        <f ca="1">J11*($T$5*AB14*J14*J7+$V$5*J7)</f>
        <v>1.5554537341810329E-2</v>
      </c>
      <c r="T9" s="806">
        <f ca="1">S9/(J17/J9)</f>
        <v>2.1019645056500443E-2</v>
      </c>
      <c r="U9" s="806"/>
      <c r="V9" s="807">
        <f ca="1">($G$10*$M$19)/T9</f>
        <v>4281.7088375223057</v>
      </c>
      <c r="W9" s="808"/>
      <c r="X9" s="237"/>
      <c r="Y9" s="384"/>
      <c r="Z9" s="812" t="s">
        <v>288</v>
      </c>
      <c r="AA9" s="813"/>
      <c r="AB9" s="408"/>
      <c r="AC9" s="245"/>
      <c r="AE9" s="385"/>
      <c r="AF9" s="245"/>
      <c r="AG9" s="245"/>
      <c r="AH9" s="245"/>
      <c r="AI9" s="245"/>
      <c r="AJ9" s="245"/>
      <c r="AK9" s="245"/>
      <c r="AL9" s="245"/>
      <c r="AM9" s="245"/>
      <c r="AN9" s="245"/>
      <c r="AO9" s="245"/>
      <c r="AP9" s="245"/>
      <c r="AQ9" s="245"/>
      <c r="AS9" s="231">
        <f t="shared" ca="1" si="1"/>
        <v>5</v>
      </c>
      <c r="AT9" s="277">
        <f t="shared" ca="1" si="5"/>
        <v>106.38297872340425</v>
      </c>
      <c r="AU9" s="277"/>
      <c r="AV9" s="277">
        <f t="shared" ca="1" si="2"/>
        <v>11.702127659574467</v>
      </c>
      <c r="AW9" s="277">
        <f t="shared" ca="1" si="6"/>
        <v>106.38297872340425</v>
      </c>
      <c r="AX9" s="413">
        <f t="shared" ca="1" si="0"/>
        <v>11.702127659574467</v>
      </c>
      <c r="AY9" s="278">
        <f t="shared" ca="1" si="3"/>
        <v>4.0112287828466542E-2</v>
      </c>
      <c r="AZ9" s="231">
        <f t="shared" ca="1" si="4"/>
        <v>3.2575951873164172E-2</v>
      </c>
      <c r="BA9" s="231"/>
    </row>
    <row r="10" spans="1:54" ht="39.75" customHeight="1" x14ac:dyDescent="0.25">
      <c r="A10" s="245"/>
      <c r="B10" s="801"/>
      <c r="C10" s="290" t="s">
        <v>3</v>
      </c>
      <c r="D10" s="291">
        <f ca="1">Summary!V17</f>
        <v>0.11</v>
      </c>
      <c r="E10" s="283"/>
      <c r="F10" s="644" t="s">
        <v>323</v>
      </c>
      <c r="G10" s="466">
        <f ca="1">Summary!AD17</f>
        <v>3</v>
      </c>
      <c r="H10" s="284"/>
      <c r="I10" s="644" t="s">
        <v>165</v>
      </c>
      <c r="J10" s="376">
        <f ca="1">Summary!AM17</f>
        <v>1</v>
      </c>
      <c r="K10" s="313"/>
      <c r="L10" s="644" t="s">
        <v>184</v>
      </c>
      <c r="M10" s="645"/>
      <c r="N10" s="243"/>
      <c r="O10" s="237"/>
      <c r="P10" s="245"/>
      <c r="Q10" s="802"/>
      <c r="R10" s="639" t="s">
        <v>496</v>
      </c>
      <c r="S10" s="638">
        <f ca="1">J20*($T$5*AB15*J15*J8+$V$5*J8)</f>
        <v>1.3528463065899308E-2</v>
      </c>
      <c r="T10" s="806">
        <f ca="1">S10/(J18/J10)</f>
        <v>1.4912327012675603E-2</v>
      </c>
      <c r="U10" s="806"/>
      <c r="V10" s="807">
        <f ca="1">($G$10*$M$19)/T10</f>
        <v>6035.2753747620509</v>
      </c>
      <c r="W10" s="808"/>
      <c r="X10" s="237"/>
      <c r="Y10" s="245"/>
      <c r="Z10" s="814" t="s">
        <v>450</v>
      </c>
      <c r="AA10" s="815"/>
      <c r="AB10" s="374"/>
      <c r="AC10" s="245"/>
      <c r="AD10" s="384"/>
      <c r="AE10" s="385"/>
      <c r="AF10" s="245"/>
      <c r="AG10" s="245"/>
      <c r="AH10" s="245"/>
      <c r="AI10" s="245"/>
      <c r="AJ10" s="245"/>
      <c r="AK10" s="245"/>
      <c r="AL10" s="245"/>
      <c r="AM10" s="245"/>
      <c r="AN10" s="245"/>
      <c r="AO10" s="245"/>
      <c r="AP10" s="245"/>
      <c r="AQ10" s="245"/>
      <c r="AS10" s="231">
        <f t="shared" ca="1" si="1"/>
        <v>6</v>
      </c>
      <c r="AT10" s="277">
        <f t="shared" ca="1" si="5"/>
        <v>106.38297872340425</v>
      </c>
      <c r="AU10" s="277"/>
      <c r="AV10" s="277">
        <f t="shared" ca="1" si="2"/>
        <v>11.702127659574467</v>
      </c>
      <c r="AW10" s="277">
        <f t="shared" ca="1" si="6"/>
        <v>106.38297872340425</v>
      </c>
      <c r="AX10" s="413">
        <f t="shared" ca="1" si="0"/>
        <v>11.702127659574467</v>
      </c>
      <c r="AY10" s="278">
        <f t="shared" ca="1" si="3"/>
        <v>4.0112287828466542E-2</v>
      </c>
      <c r="AZ10" s="231">
        <f t="shared" ca="1" si="4"/>
        <v>3.1247915465864914E-2</v>
      </c>
      <c r="BA10" s="231"/>
      <c r="BB10" s="498"/>
    </row>
    <row r="11" spans="1:54" ht="33" customHeight="1" x14ac:dyDescent="0.25">
      <c r="A11" s="245"/>
      <c r="B11" s="801"/>
      <c r="C11" s="296" t="s">
        <v>5</v>
      </c>
      <c r="D11" s="297">
        <f ca="1">Summary!W17</f>
        <v>0.5</v>
      </c>
      <c r="E11" s="234"/>
      <c r="F11" s="644" t="s">
        <v>301</v>
      </c>
      <c r="G11" s="466">
        <f ca="1">Summary!AE17</f>
        <v>1.4</v>
      </c>
      <c r="H11" s="237"/>
      <c r="I11" s="644" t="s">
        <v>322</v>
      </c>
      <c r="J11" s="376">
        <f ca="1">Summary!AN17</f>
        <v>0.81</v>
      </c>
      <c r="K11" s="313"/>
      <c r="L11" s="644" t="s">
        <v>183</v>
      </c>
      <c r="M11" s="645"/>
      <c r="N11" s="243"/>
      <c r="O11" s="245"/>
      <c r="P11" s="245"/>
      <c r="Q11" s="802"/>
      <c r="R11" s="639" t="s">
        <v>38</v>
      </c>
      <c r="S11" s="638" t="s">
        <v>408</v>
      </c>
      <c r="T11" s="806">
        <f ca="1">M18*((1/S39)*(1/M20)*T5*AB16+(1/R39)*M19*G10)</f>
        <v>3.1500515768023235E-2</v>
      </c>
      <c r="U11" s="806">
        <f ca="1">(1/S39)*(1/M20)*T5+1/R39*(G10*S5)</f>
        <v>1.3272725124300961E-2</v>
      </c>
      <c r="V11" s="807">
        <f ca="1">($G$10*$M$19)/T11</f>
        <v>2857.0960762287164</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ca="1" si="1"/>
        <v>7</v>
      </c>
      <c r="AT11" s="277">
        <f t="shared" ca="1" si="5"/>
        <v>106.38297872340425</v>
      </c>
      <c r="AU11" s="277"/>
      <c r="AV11" s="277">
        <f t="shared" ca="1" si="2"/>
        <v>11.702127659574467</v>
      </c>
      <c r="AW11" s="277">
        <f t="shared" ca="1" si="6"/>
        <v>106.38297872340425</v>
      </c>
      <c r="AX11" s="413">
        <f t="shared" ca="1" si="0"/>
        <v>11.702127659574467</v>
      </c>
      <c r="AY11" s="278">
        <f t="shared" ca="1" si="3"/>
        <v>4.0112287828466542E-2</v>
      </c>
      <c r="AZ11" s="231">
        <f t="shared" ca="1" si="4"/>
        <v>2.9974019631525094E-2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 ca="1">T6</f>
        <v>0</v>
      </c>
      <c r="T12" s="806" t="e">
        <f ca="1">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ca="1" si="1"/>
        <v>8</v>
      </c>
      <c r="AT12" s="277">
        <f t="shared" ca="1" si="5"/>
        <v>106.38297872340425</v>
      </c>
      <c r="AU12" s="277"/>
      <c r="AV12" s="277">
        <f t="shared" ca="1" si="2"/>
        <v>11.702127659574467</v>
      </c>
      <c r="AW12" s="277">
        <f t="shared" ca="1" si="6"/>
        <v>106.38297872340425</v>
      </c>
      <c r="AX12" s="413">
        <f t="shared" ca="1" si="0"/>
        <v>11.702127659574467</v>
      </c>
      <c r="AY12" s="278">
        <f t="shared" ca="1" si="3"/>
        <v>4.0112287828466542E-2</v>
      </c>
      <c r="AZ12" s="231">
        <f t="shared" ca="1" si="4"/>
        <v>2.8752057200503691E-2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ca="1" si="1"/>
        <v>9</v>
      </c>
      <c r="AT13" s="277">
        <f t="shared" ca="1" si="5"/>
        <v>106.38297872340425</v>
      </c>
      <c r="AU13" s="277"/>
      <c r="AV13" s="277">
        <f t="shared" ca="1" si="2"/>
        <v>11.702127659574467</v>
      </c>
      <c r="AW13" s="277">
        <f t="shared" ca="1" si="6"/>
        <v>106.38297872340425</v>
      </c>
      <c r="AX13" s="413">
        <f t="shared" ca="1" si="0"/>
        <v>11.702127659574467</v>
      </c>
      <c r="AY13" s="278">
        <f t="shared" ca="1" si="3"/>
        <v>4.0112287828466542E-2</v>
      </c>
      <c r="AZ13" s="231">
        <f t="shared" ca="1" si="4"/>
        <v>2.7579910983696585E-2</v>
      </c>
      <c r="BA13" s="231"/>
    </row>
    <row r="14" spans="1:54" ht="35.1" customHeight="1" x14ac:dyDescent="0.25">
      <c r="A14" s="245"/>
      <c r="B14" s="892" t="s">
        <v>214</v>
      </c>
      <c r="C14" s="836" t="s">
        <v>1</v>
      </c>
      <c r="D14" s="838">
        <f ca="1">Summary!X17</f>
        <v>20</v>
      </c>
      <c r="E14" s="233"/>
      <c r="F14" s="634" t="s">
        <v>560</v>
      </c>
      <c r="G14" s="528">
        <f ca="1">Summary!AF17</f>
        <v>8</v>
      </c>
      <c r="H14" s="237"/>
      <c r="I14" s="646" t="s">
        <v>11</v>
      </c>
      <c r="J14" s="379">
        <f ca="1">Summary!AP17</f>
        <v>1</v>
      </c>
      <c r="K14" s="237"/>
      <c r="L14" s="644" t="s">
        <v>178</v>
      </c>
      <c r="M14" s="645"/>
      <c r="N14" s="243"/>
      <c r="O14" s="237"/>
      <c r="P14" s="245"/>
      <c r="Q14" s="840" t="s">
        <v>410</v>
      </c>
      <c r="R14" s="641" t="s">
        <v>148</v>
      </c>
      <c r="S14" s="641" t="s">
        <v>35</v>
      </c>
      <c r="T14" s="796" t="s">
        <v>36</v>
      </c>
      <c r="U14" s="796"/>
      <c r="V14" s="796" t="s">
        <v>34</v>
      </c>
      <c r="W14" s="797"/>
      <c r="X14" s="237"/>
      <c r="Y14" s="245"/>
      <c r="Z14" s="357" t="s">
        <v>42</v>
      </c>
      <c r="AA14" s="358"/>
      <c r="AB14" s="362">
        <f ca="1">IF($AB$10="Yes",MAX(AB6,$AB$9),AB6)/AB6</f>
        <v>1</v>
      </c>
      <c r="AC14" s="245"/>
      <c r="AD14" s="245"/>
      <c r="AE14" s="245"/>
      <c r="AF14" s="245"/>
      <c r="AG14" s="245"/>
      <c r="AH14" s="245"/>
      <c r="AI14" s="245"/>
      <c r="AJ14" s="245"/>
      <c r="AK14" s="245"/>
      <c r="AL14" s="245"/>
      <c r="AM14" s="245"/>
      <c r="AN14" s="245"/>
      <c r="AO14" s="245"/>
      <c r="AP14" s="245"/>
      <c r="AQ14" s="245"/>
      <c r="AS14" s="231">
        <f t="shared" ca="1" si="1"/>
        <v>10</v>
      </c>
      <c r="AT14" s="277">
        <f t="shared" ca="1" si="5"/>
        <v>106.38297872340425</v>
      </c>
      <c r="AU14" s="277"/>
      <c r="AV14" s="277">
        <f t="shared" ca="1" si="2"/>
        <v>11.702127659574467</v>
      </c>
      <c r="AW14" s="277">
        <f t="shared" ca="1" si="6"/>
        <v>106.38297872340425</v>
      </c>
      <c r="AX14" s="413">
        <f t="shared" ca="1" si="0"/>
        <v>11.702127659574467</v>
      </c>
      <c r="AY14" s="278">
        <f t="shared" ca="1" si="3"/>
        <v>4.0112287828466542E-2</v>
      </c>
      <c r="AZ14" s="231">
        <f t="shared" ca="1" si="4"/>
        <v>2.6455550104265309E-2</v>
      </c>
      <c r="BA14" s="231"/>
    </row>
    <row r="15" spans="1:54" ht="21" customHeight="1" thickBot="1" x14ac:dyDescent="0.3">
      <c r="A15" s="245"/>
      <c r="B15" s="892"/>
      <c r="C15" s="837"/>
      <c r="D15" s="839"/>
      <c r="E15" s="234"/>
      <c r="F15" s="836" t="s">
        <v>2</v>
      </c>
      <c r="G15" s="816">
        <f ca="1">Summary!AG17</f>
        <v>1.7608179999999999E-3</v>
      </c>
      <c r="H15" s="237"/>
      <c r="I15" s="818" t="s">
        <v>10</v>
      </c>
      <c r="J15" s="820">
        <f ca="1">Summary!AQ17</f>
        <v>0.9</v>
      </c>
      <c r="K15" s="314"/>
      <c r="L15" s="320" t="s">
        <v>181</v>
      </c>
      <c r="M15" s="334"/>
      <c r="N15" s="243"/>
      <c r="O15" s="237"/>
      <c r="P15" s="245"/>
      <c r="Q15" s="802"/>
      <c r="R15" s="637">
        <f ca="1">BA5</f>
        <v>0.55965981315075719</v>
      </c>
      <c r="S15" s="637">
        <f ca="1">AZ4</f>
        <v>0.31632022465180309</v>
      </c>
      <c r="T15" s="835">
        <f ca="1">R15+S15</f>
        <v>0.87598003780256029</v>
      </c>
      <c r="U15" s="835"/>
      <c r="V15" s="806">
        <f ca="1">T15/('GW medians'!Q39/'GW medians'!D19)</f>
        <v>3.4089639151124438E-3</v>
      </c>
      <c r="W15" s="893"/>
      <c r="X15" s="237"/>
      <c r="Y15" s="384"/>
      <c r="Z15" s="357" t="s">
        <v>32</v>
      </c>
      <c r="AA15" s="358"/>
      <c r="AB15" s="362">
        <f ca="1">IF($AB$10="Yes",MAX(AB7,$AB$9),AB7)/AB7</f>
        <v>1</v>
      </c>
      <c r="AC15" s="245"/>
      <c r="AD15" s="245"/>
      <c r="AE15" s="245"/>
      <c r="AF15" s="245"/>
      <c r="AG15" s="245"/>
      <c r="AH15" s="245"/>
      <c r="AI15" s="245"/>
      <c r="AJ15" s="245"/>
      <c r="AK15" s="245"/>
      <c r="AL15" s="245"/>
      <c r="AM15" s="245"/>
      <c r="AN15" s="245"/>
      <c r="AO15" s="245"/>
      <c r="AP15" s="245"/>
      <c r="AQ15" s="245"/>
      <c r="AS15" s="231">
        <f t="shared" ca="1" si="1"/>
        <v>11</v>
      </c>
      <c r="AT15" s="277">
        <f t="shared" ca="1" si="5"/>
        <v>106.38297872340425</v>
      </c>
      <c r="AU15" s="277"/>
      <c r="AV15" s="277">
        <f t="shared" ca="1" si="2"/>
        <v>11.702127659574467</v>
      </c>
      <c r="AW15" s="277">
        <f t="shared" ca="1" si="6"/>
        <v>106.38297872340425</v>
      </c>
      <c r="AX15" s="413">
        <f t="shared" ca="1" si="0"/>
        <v>11.702127659574467</v>
      </c>
      <c r="AY15" s="278">
        <f t="shared" ca="1" si="3"/>
        <v>4.0112287828466542E-2</v>
      </c>
      <c r="AZ15" s="231">
        <f t="shared" ca="1" si="4"/>
        <v>2.5377026478911567E-2</v>
      </c>
      <c r="BA15" s="231"/>
    </row>
    <row r="16" spans="1:54" ht="21" customHeight="1" thickBot="1" x14ac:dyDescent="0.3">
      <c r="A16" s="245"/>
      <c r="B16" s="892"/>
      <c r="C16" s="841" t="s">
        <v>507</v>
      </c>
      <c r="D16" s="842">
        <f ca="1">Summary!Y17</f>
        <v>0.17499999999999999</v>
      </c>
      <c r="E16" s="234"/>
      <c r="F16" s="837"/>
      <c r="G16" s="817"/>
      <c r="H16" s="237"/>
      <c r="I16" s="819"/>
      <c r="J16" s="821"/>
      <c r="K16" s="314"/>
      <c r="N16" s="243"/>
      <c r="O16" s="237"/>
      <c r="P16" s="245"/>
      <c r="Q16" s="635" t="s">
        <v>417</v>
      </c>
      <c r="R16" s="412"/>
      <c r="S16" s="640" t="s">
        <v>33</v>
      </c>
      <c r="T16" s="845" t="s">
        <v>32</v>
      </c>
      <c r="U16" s="846"/>
      <c r="V16" s="640" t="s">
        <v>38</v>
      </c>
      <c r="W16" s="427" t="s">
        <v>48</v>
      </c>
      <c r="X16" s="237"/>
      <c r="Y16" s="384"/>
      <c r="Z16" s="363" t="s">
        <v>38</v>
      </c>
      <c r="AA16" s="364"/>
      <c r="AB16" s="365">
        <f ca="1">IF($AB$10="Yes",MAX(AB8,$AB$9),AB8)/AB8</f>
        <v>1</v>
      </c>
      <c r="AC16" s="245"/>
      <c r="AD16" s="245"/>
      <c r="AE16" s="245"/>
      <c r="AF16" s="245"/>
      <c r="AG16" s="245"/>
      <c r="AH16" s="245"/>
      <c r="AI16" s="245"/>
      <c r="AJ16" s="245"/>
      <c r="AK16" s="245"/>
      <c r="AL16" s="245"/>
      <c r="AM16" s="245"/>
      <c r="AN16" s="245"/>
      <c r="AO16" s="245"/>
      <c r="AP16" s="245"/>
      <c r="AQ16" s="245"/>
      <c r="AS16" s="231">
        <f t="shared" ca="1" si="1"/>
        <v>12</v>
      </c>
      <c r="AT16" s="277">
        <f t="shared" ca="1" si="5"/>
        <v>106.38297872340425</v>
      </c>
      <c r="AU16" s="277"/>
      <c r="AV16" s="277">
        <f t="shared" ca="1" si="2"/>
        <v>11.702127659574467</v>
      </c>
      <c r="AW16" s="277">
        <f t="shared" ca="1" si="6"/>
        <v>106.38297872340425</v>
      </c>
      <c r="AX16" s="413">
        <f t="shared" ca="1" si="0"/>
        <v>11.702127659574467</v>
      </c>
      <c r="AY16" s="278">
        <f t="shared" ca="1" si="3"/>
        <v>4.0112287828466542E-2</v>
      </c>
      <c r="AZ16" s="231">
        <f t="shared" ca="1" si="4"/>
        <v>2.4342471442601026E-2</v>
      </c>
      <c r="BA16" s="231"/>
    </row>
    <row r="17" spans="1:54" ht="21" customHeight="1" x14ac:dyDescent="0.25">
      <c r="A17" s="245"/>
      <c r="B17" s="892"/>
      <c r="C17" s="836"/>
      <c r="D17" s="843"/>
      <c r="E17" s="234"/>
      <c r="F17" s="841" t="s">
        <v>216</v>
      </c>
      <c r="G17" s="847">
        <f ca="1">Summary!AH17</f>
        <v>25</v>
      </c>
      <c r="H17" s="237"/>
      <c r="I17" s="294" t="s">
        <v>28</v>
      </c>
      <c r="J17" s="381">
        <f ca="1">Summary!AR17</f>
        <v>0.74</v>
      </c>
      <c r="K17" s="315"/>
      <c r="L17" s="850" t="s">
        <v>38</v>
      </c>
      <c r="M17" s="850"/>
      <c r="N17" s="243"/>
      <c r="O17" s="237"/>
      <c r="P17" s="245"/>
      <c r="Q17" s="636"/>
      <c r="R17" s="410" t="s">
        <v>414</v>
      </c>
      <c r="S17" s="453">
        <f ca="1">$T9/$T$9</f>
        <v>1</v>
      </c>
      <c r="T17" s="851">
        <f ca="1">$T9/$T$10</f>
        <v>1.4095482910637334</v>
      </c>
      <c r="U17" s="852"/>
      <c r="V17" s="453">
        <f ca="1">$T9/$T$11</f>
        <v>0.66727939349608612</v>
      </c>
      <c r="W17" s="454">
        <f ca="1">$T9/$V$15</f>
        <v>6.1659922427800513</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ca="1" si="1"/>
        <v>13</v>
      </c>
      <c r="AT17" s="277">
        <f t="shared" ca="1" si="5"/>
        <v>106.38297872340425</v>
      </c>
      <c r="AU17" s="277"/>
      <c r="AV17" s="277">
        <f t="shared" ca="1" si="2"/>
        <v>11.702127659574467</v>
      </c>
      <c r="AW17" s="277">
        <f t="shared" ca="1" si="6"/>
        <v>106.38297872340425</v>
      </c>
      <c r="AX17" s="413">
        <f t="shared" ca="1" si="0"/>
        <v>11.702127659574467</v>
      </c>
      <c r="AY17" s="278">
        <f t="shared" ca="1" si="3"/>
        <v>4.0112287828466542E-2</v>
      </c>
      <c r="AZ17" s="231">
        <f t="shared" ca="1" si="4"/>
        <v>2.3350092510888276E-2</v>
      </c>
      <c r="BA17" s="231"/>
    </row>
    <row r="18" spans="1:54" ht="18" customHeight="1" x14ac:dyDescent="0.25">
      <c r="A18" s="245"/>
      <c r="B18" s="892"/>
      <c r="C18" s="837"/>
      <c r="D18" s="844"/>
      <c r="E18" s="234"/>
      <c r="F18" s="836"/>
      <c r="G18" s="848"/>
      <c r="H18" s="237"/>
      <c r="I18" s="853" t="s">
        <v>7</v>
      </c>
      <c r="J18" s="882">
        <f ca="1">Summary!AS17</f>
        <v>0.90720000000000001</v>
      </c>
      <c r="K18" s="315"/>
      <c r="L18" s="644" t="s">
        <v>519</v>
      </c>
      <c r="M18" s="137">
        <f ca="1">Summary!AT17</f>
        <v>0.86</v>
      </c>
      <c r="N18" s="243"/>
      <c r="O18" s="237"/>
      <c r="P18" s="245"/>
      <c r="Q18" s="636"/>
      <c r="R18" s="884" t="s">
        <v>415</v>
      </c>
      <c r="S18" s="885">
        <f ca="1">$T10/$T$9</f>
        <v>0.70944713731328601</v>
      </c>
      <c r="T18" s="858">
        <f ca="1">$T10/$T$10</f>
        <v>1</v>
      </c>
      <c r="U18" s="859"/>
      <c r="V18" s="885">
        <f ca="1">$T10/$T$11</f>
        <v>0.47339945550394402</v>
      </c>
      <c r="W18" s="890">
        <f ca="1">$T10/$V$15</f>
        <v>4.3744455453362354</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ca="1" si="1"/>
        <v>14</v>
      </c>
      <c r="AT18" s="277">
        <f t="shared" ca="1" si="5"/>
        <v>106.38297872340425</v>
      </c>
      <c r="AU18" s="277"/>
      <c r="AV18" s="277">
        <f t="shared" ca="1" si="2"/>
        <v>11.702127659574467</v>
      </c>
      <c r="AW18" s="277">
        <f t="shared" ca="1" si="6"/>
        <v>106.38297872340425</v>
      </c>
      <c r="AX18" s="413">
        <f t="shared" ca="1" si="0"/>
        <v>11.702127659574467</v>
      </c>
      <c r="AY18" s="278">
        <f t="shared" ca="1" si="3"/>
        <v>4.0112287828466542E-2</v>
      </c>
      <c r="AZ18" s="231">
        <f t="shared" ca="1" si="4"/>
        <v>2.239817027423336E-2</v>
      </c>
      <c r="BA18" s="231"/>
    </row>
    <row r="19" spans="1:54" ht="24" customHeight="1" x14ac:dyDescent="0.25">
      <c r="A19" s="245"/>
      <c r="B19" s="892"/>
      <c r="C19" s="836" t="s">
        <v>19</v>
      </c>
      <c r="D19" s="856">
        <f ca="1">Summary!Z17</f>
        <v>0.82799999999999996</v>
      </c>
      <c r="E19" s="234"/>
      <c r="F19" s="837"/>
      <c r="G19" s="849"/>
      <c r="H19" s="237"/>
      <c r="I19" s="854"/>
      <c r="J19" s="883"/>
      <c r="K19" s="315"/>
      <c r="L19" s="644" t="s">
        <v>520</v>
      </c>
      <c r="M19" s="506">
        <f ca="1">Summary!AU17</f>
        <v>30</v>
      </c>
      <c r="N19" s="243"/>
      <c r="O19" s="237"/>
      <c r="P19" s="245"/>
      <c r="Q19" s="636"/>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ca="1" si="1"/>
        <v>15</v>
      </c>
      <c r="AT19" s="277">
        <f t="shared" ca="1" si="5"/>
        <v>106.38297872340425</v>
      </c>
      <c r="AU19" s="277"/>
      <c r="AV19" s="277">
        <f t="shared" ca="1" si="2"/>
        <v>11.702127659574467</v>
      </c>
      <c r="AW19" s="277">
        <f t="shared" ca="1" si="6"/>
        <v>106.38297872340425</v>
      </c>
      <c r="AX19" s="413">
        <f t="shared" ca="1" si="0"/>
        <v>11.702127659574467</v>
      </c>
      <c r="AY19" s="278">
        <f t="shared" ca="1" si="3"/>
        <v>4.0112287828466542E-2</v>
      </c>
      <c r="AZ19" s="231">
        <f t="shared" ca="1" si="4"/>
        <v>2.1485055418928881E-2</v>
      </c>
      <c r="BA19" s="231"/>
    </row>
    <row r="20" spans="1:54" ht="35.1" customHeight="1" x14ac:dyDescent="0.25">
      <c r="A20" s="245"/>
      <c r="B20" s="892"/>
      <c r="C20" s="855"/>
      <c r="D20" s="857"/>
      <c r="E20" s="234"/>
      <c r="F20" s="308" t="s">
        <v>199</v>
      </c>
      <c r="G20" s="306">
        <f ca="1">Summary!AI17</f>
        <v>0.22500000000000001</v>
      </c>
      <c r="H20" s="237"/>
      <c r="I20" s="305" t="s">
        <v>321</v>
      </c>
      <c r="J20" s="304">
        <f ca="1">Summary!AO17</f>
        <v>1</v>
      </c>
      <c r="K20" s="314"/>
      <c r="L20" s="320" t="s">
        <v>433</v>
      </c>
      <c r="M20" s="334">
        <f ca="1">Summary!AV17</f>
        <v>1.75</v>
      </c>
      <c r="N20" s="243"/>
      <c r="O20" s="237"/>
      <c r="P20" s="237"/>
      <c r="Q20" s="636"/>
      <c r="R20" s="410" t="s">
        <v>416</v>
      </c>
      <c r="S20" s="453">
        <f ca="1">$T11/$T$9</f>
        <v>1.4986226305606205</v>
      </c>
      <c r="T20" s="851">
        <f ca="1">$T11/$T$10</f>
        <v>2.1123809678561591</v>
      </c>
      <c r="U20" s="852"/>
      <c r="V20" s="453">
        <f ca="1">$T11/$T$11</f>
        <v>1</v>
      </c>
      <c r="W20" s="454">
        <f ca="1">$T11/$V$15</f>
        <v>9.2404955148914212</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ca="1" si="1"/>
        <v>16</v>
      </c>
      <c r="AT20" s="277">
        <f t="shared" ca="1" si="5"/>
        <v>106.38297872340425</v>
      </c>
      <c r="AU20" s="277"/>
      <c r="AV20" s="277">
        <f t="shared" ca="1" si="2"/>
        <v>11.702127659574467</v>
      </c>
      <c r="AW20" s="277">
        <f t="shared" ca="1" si="6"/>
        <v>106.38297872340425</v>
      </c>
      <c r="AX20" s="413">
        <f t="shared" ca="1" si="0"/>
        <v>11.702127659574467</v>
      </c>
      <c r="AY20" s="278">
        <f t="shared" ca="1" si="3"/>
        <v>4.0112287828466542E-2</v>
      </c>
      <c r="AZ20" s="231">
        <f t="shared" ca="1" si="4"/>
        <v>2.0609165869476146E-2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49"/>
      <c r="R21" s="411" t="s">
        <v>418</v>
      </c>
      <c r="S21" s="455">
        <f ca="1">$V15/$T$9</f>
        <v>0.16217989913479547</v>
      </c>
      <c r="T21" s="862">
        <f ca="1">$V15/$T$10</f>
        <v>0.22860039967033957</v>
      </c>
      <c r="U21" s="863"/>
      <c r="V21" s="455">
        <f ca="1">$V15/$T$11</f>
        <v>0.10821930473192275</v>
      </c>
      <c r="W21" s="456">
        <f ca="1">$V15/$V$15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ca="1" si="1"/>
        <v>17</v>
      </c>
      <c r="AT21" s="277">
        <f t="shared" ca="1" si="5"/>
        <v>106.38297872340425</v>
      </c>
      <c r="AU21" s="277"/>
      <c r="AV21" s="277">
        <f t="shared" ca="1" si="2"/>
        <v>11.702127659574467</v>
      </c>
      <c r="AW21" s="277">
        <f t="shared" ca="1" si="6"/>
        <v>106.38297872340425</v>
      </c>
      <c r="AX21" s="413">
        <f t="shared" ca="1" si="0"/>
        <v>11.702127659574467</v>
      </c>
      <c r="AY21" s="278">
        <f t="shared" ca="1" si="3"/>
        <v>4.0112287828466542E-2</v>
      </c>
      <c r="AZ21" s="231">
        <f t="shared" ca="1" si="4"/>
        <v>1.9768984047459134E-2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ca="1" si="1"/>
        <v>18</v>
      </c>
      <c r="AT22" s="277">
        <f t="shared" ca="1" si="5"/>
        <v>106.38297872340425</v>
      </c>
      <c r="AU22" s="277"/>
      <c r="AV22" s="277">
        <f t="shared" ca="1" si="2"/>
        <v>11.702127659574467</v>
      </c>
      <c r="AW22" s="277">
        <f t="shared" ca="1" si="6"/>
        <v>106.38297872340425</v>
      </c>
      <c r="AX22" s="413">
        <f t="shared" ca="1" si="0"/>
        <v>11.702127659574467</v>
      </c>
      <c r="AY22" s="278">
        <f t="shared" ca="1" si="3"/>
        <v>4.0112287828466542E-2</v>
      </c>
      <c r="AZ22" s="231">
        <f t="shared" ca="1" si="4"/>
        <v>1.8963054242167033E-2</v>
      </c>
      <c r="BA22" s="231"/>
    </row>
    <row r="23" spans="1:54" ht="10.5" customHeight="1" x14ac:dyDescent="0.25">
      <c r="A23" s="245"/>
      <c r="B23" s="245"/>
      <c r="C23" s="245"/>
      <c r="D23" s="245"/>
      <c r="E23" s="237"/>
      <c r="F23" s="864" t="s">
        <v>34</v>
      </c>
      <c r="G23" s="256" t="s">
        <v>33</v>
      </c>
      <c r="H23" s="257"/>
      <c r="I23" s="450">
        <f ca="1">T9</f>
        <v>2.1019645056500443E-2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ca="1" si="1"/>
        <v>19</v>
      </c>
      <c r="AT23" s="277">
        <f t="shared" ca="1" si="5"/>
        <v>106.38297872340425</v>
      </c>
      <c r="AU23" s="277"/>
      <c r="AV23" s="277">
        <f t="shared" ca="1" si="2"/>
        <v>11.702127659574467</v>
      </c>
      <c r="AW23" s="277">
        <f t="shared" ca="1" si="6"/>
        <v>106.38297872340425</v>
      </c>
      <c r="AX23" s="413">
        <f t="shared" ca="1" si="0"/>
        <v>11.702127659574467</v>
      </c>
      <c r="AY23" s="278">
        <f t="shared" ca="1" si="3"/>
        <v>4.0112287828466542E-2</v>
      </c>
      <c r="AZ23" s="231">
        <f t="shared" ca="1" si="4"/>
        <v>1.8189980088409621E-2</v>
      </c>
      <c r="BA23" s="231"/>
    </row>
    <row r="24" spans="1:54" ht="12" customHeight="1" thickBot="1" x14ac:dyDescent="0.3">
      <c r="A24" s="245"/>
      <c r="B24" s="245"/>
      <c r="C24" s="245"/>
      <c r="D24" s="245"/>
      <c r="E24" s="237"/>
      <c r="F24" s="865"/>
      <c r="G24" s="260" t="s">
        <v>32</v>
      </c>
      <c r="H24" s="261"/>
      <c r="I24" s="451">
        <f ca="1">T10</f>
        <v>1.4912327012675603E-2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ca="1" si="1"/>
        <v>20</v>
      </c>
      <c r="AT24" s="277">
        <f t="shared" ca="1" si="5"/>
        <v>106.38297872340425</v>
      </c>
      <c r="AU24" s="277"/>
      <c r="AV24" s="277">
        <f t="shared" ca="1" si="2"/>
        <v>11.702127659574467</v>
      </c>
      <c r="AW24" s="277">
        <f t="shared" ca="1" si="6"/>
        <v>106.38297872340425</v>
      </c>
      <c r="AX24" s="413">
        <f t="shared" ca="1" si="0"/>
        <v>30.319148936170208</v>
      </c>
      <c r="AY24" s="278">
        <f t="shared" ca="1" si="3"/>
        <v>0.10078590914042618</v>
      </c>
      <c r="AZ24" s="231">
        <f t="shared" ca="1" si="4"/>
        <v>4.38408075023589E-2</v>
      </c>
      <c r="BA24" s="231"/>
    </row>
    <row r="25" spans="1:54" ht="10.7" customHeight="1" x14ac:dyDescent="0.25">
      <c r="A25" s="245"/>
      <c r="B25" s="792" t="s">
        <v>188</v>
      </c>
      <c r="C25" s="878"/>
      <c r="D25" s="878"/>
      <c r="E25" s="878"/>
      <c r="F25" s="865"/>
      <c r="G25" s="260" t="s">
        <v>168</v>
      </c>
      <c r="H25" s="261"/>
      <c r="I25" s="451" t="str">
        <f ca="1">IFERROR(T12,"-")</f>
        <v>-</v>
      </c>
      <c r="J25" s="262"/>
      <c r="K25" s="263"/>
      <c r="L25" s="262"/>
      <c r="M25" s="262"/>
      <c r="N25" s="262"/>
      <c r="O25" s="262"/>
      <c r="P25" s="237"/>
      <c r="Q25" s="866"/>
      <c r="R25" s="344" t="s">
        <v>38</v>
      </c>
      <c r="S25" s="457">
        <f ca="1">(R39/S39)*T5</f>
        <v>64.319748451529563</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ca="1" si="1"/>
        <v/>
      </c>
      <c r="AT25" s="277">
        <f t="shared" ca="1" si="5"/>
        <v>0</v>
      </c>
      <c r="AU25" s="277"/>
      <c r="AV25" s="277">
        <f t="shared" ca="1" si="2"/>
        <v>0</v>
      </c>
      <c r="AW25" s="277">
        <f t="shared" ca="1" si="6"/>
        <v>0</v>
      </c>
      <c r="AX25" s="413">
        <f t="shared" ca="1" si="0"/>
        <v>0</v>
      </c>
      <c r="AY25" s="278">
        <f t="shared" ca="1" si="3"/>
        <v>0</v>
      </c>
      <c r="AZ25" s="231">
        <f t="shared" ca="1" si="4"/>
        <v>0</v>
      </c>
      <c r="BA25" s="231"/>
    </row>
    <row r="26" spans="1:54" ht="12.75" customHeight="1" x14ac:dyDescent="0.25">
      <c r="A26" s="245"/>
      <c r="B26" s="879"/>
      <c r="C26" s="880"/>
      <c r="D26" s="880"/>
      <c r="E26" s="880"/>
      <c r="F26" s="865"/>
      <c r="G26" s="260" t="s">
        <v>14</v>
      </c>
      <c r="H26" s="261"/>
      <c r="I26" s="499">
        <f ca="1">V15</f>
        <v>3.4089639151124438E-3</v>
      </c>
      <c r="J26" s="262"/>
      <c r="K26" s="263"/>
      <c r="L26" s="262"/>
      <c r="M26" s="262"/>
      <c r="N26" s="262"/>
      <c r="O26" s="262"/>
      <c r="P26" s="237"/>
      <c r="Q26" s="866"/>
      <c r="R26" s="344" t="s">
        <v>42</v>
      </c>
      <c r="S26" s="457">
        <f ca="1">T9*$R$39</f>
        <v>72.739167201419605</v>
      </c>
      <c r="T26" s="458"/>
      <c r="U26" s="459" t="s">
        <v>42</v>
      </c>
      <c r="V26" s="459"/>
      <c r="W26" s="460">
        <f ca="1">S26/S$25</f>
        <v>1.1308994352836252</v>
      </c>
      <c r="Y26" s="245"/>
      <c r="Z26" s="245"/>
      <c r="AA26" s="245"/>
      <c r="AB26" s="245"/>
      <c r="AC26" s="245"/>
      <c r="AD26" s="245"/>
      <c r="AE26" s="245"/>
      <c r="AF26" s="245"/>
      <c r="AG26" s="245"/>
      <c r="AH26" s="245"/>
      <c r="AI26" s="245"/>
      <c r="AJ26" s="245"/>
      <c r="AK26" s="245"/>
      <c r="AL26" s="245"/>
      <c r="AM26" s="245"/>
      <c r="AN26" s="245"/>
      <c r="AO26" s="245"/>
      <c r="AP26" s="245"/>
      <c r="AQ26" s="245"/>
      <c r="AS26" s="231" t="str">
        <f t="shared" ca="1" si="1"/>
        <v/>
      </c>
      <c r="AT26" s="277">
        <f t="shared" ca="1" si="5"/>
        <v>0</v>
      </c>
      <c r="AU26" s="277"/>
      <c r="AV26" s="277">
        <f t="shared" ca="1" si="2"/>
        <v>0</v>
      </c>
      <c r="AW26" s="277">
        <f t="shared" ca="1" si="6"/>
        <v>0</v>
      </c>
      <c r="AX26" s="413">
        <f t="shared" ca="1" si="0"/>
        <v>0</v>
      </c>
      <c r="AY26" s="278">
        <f t="shared" ca="1" si="3"/>
        <v>0</v>
      </c>
      <c r="AZ26" s="231">
        <f t="shared" ca="1" si="4"/>
        <v>0</v>
      </c>
      <c r="BA26" s="231"/>
    </row>
    <row r="27" spans="1:54" ht="14.45" customHeight="1" thickBot="1" x14ac:dyDescent="0.3">
      <c r="A27" s="245"/>
      <c r="B27" s="879"/>
      <c r="C27" s="880"/>
      <c r="D27" s="880"/>
      <c r="E27" s="880"/>
      <c r="F27" s="264" t="s">
        <v>46</v>
      </c>
      <c r="G27" s="265"/>
      <c r="H27" s="265"/>
      <c r="I27" s="266">
        <f ca="1">V15*J39</f>
        <v>0.97469876267985434</v>
      </c>
      <c r="J27" s="262"/>
      <c r="K27" s="263"/>
      <c r="L27" s="262"/>
      <c r="M27" s="262"/>
      <c r="N27" s="262"/>
      <c r="O27" s="262"/>
      <c r="P27" s="237"/>
      <c r="Q27" s="867"/>
      <c r="R27" s="344" t="s">
        <v>32</v>
      </c>
      <c r="S27" s="457">
        <f ca="1">T10*$R$39</f>
        <v>51.604593941599596</v>
      </c>
      <c r="T27" s="458"/>
      <c r="U27" s="459" t="s">
        <v>32</v>
      </c>
      <c r="V27" s="459"/>
      <c r="W27" s="460">
        <f ca="1">S27/S$25</f>
        <v>0.8023133669511795</v>
      </c>
      <c r="Y27" s="245"/>
      <c r="Z27" s="245"/>
      <c r="AA27" s="245"/>
      <c r="AB27" s="245"/>
      <c r="AC27" s="245"/>
      <c r="AD27" s="245"/>
      <c r="AE27" s="245"/>
      <c r="AF27" s="245"/>
      <c r="AG27" s="245"/>
      <c r="AH27" s="245"/>
      <c r="AI27" s="245"/>
      <c r="AJ27" s="245"/>
      <c r="AK27" s="245"/>
      <c r="AL27" s="245"/>
      <c r="AM27" s="245"/>
      <c r="AN27" s="245"/>
      <c r="AO27" s="245"/>
      <c r="AP27" s="245"/>
      <c r="AQ27" s="245"/>
      <c r="AS27" s="231" t="str">
        <f t="shared" ca="1" si="1"/>
        <v/>
      </c>
      <c r="AT27" s="277">
        <f t="shared" ca="1" si="5"/>
        <v>0</v>
      </c>
      <c r="AU27" s="277"/>
      <c r="AV27" s="277">
        <f t="shared" ca="1" si="2"/>
        <v>0</v>
      </c>
      <c r="AW27" s="277">
        <f t="shared" ca="1" si="6"/>
        <v>0</v>
      </c>
      <c r="AX27" s="413">
        <f t="shared" ca="1" si="0"/>
        <v>0</v>
      </c>
      <c r="AY27" s="278">
        <f t="shared" ca="1" si="3"/>
        <v>0</v>
      </c>
      <c r="AZ27" s="231">
        <f t="shared" ca="1"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 ca="1">T12*$R$39</f>
        <v>#DIV/0!</v>
      </c>
      <c r="T28" s="458"/>
      <c r="U28" s="459" t="s">
        <v>168</v>
      </c>
      <c r="V28" s="459"/>
      <c r="W28" s="460" t="e">
        <f ca="1">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ca="1" si="1"/>
        <v/>
      </c>
      <c r="AT28" s="277">
        <f t="shared" ca="1" si="5"/>
        <v>0</v>
      </c>
      <c r="AU28" s="277"/>
      <c r="AV28" s="277">
        <f t="shared" ca="1" si="2"/>
        <v>0</v>
      </c>
      <c r="AW28" s="277">
        <f t="shared" ca="1" si="6"/>
        <v>0</v>
      </c>
      <c r="AX28" s="413">
        <f t="shared" ca="1" si="0"/>
        <v>0</v>
      </c>
      <c r="AY28" s="278">
        <f t="shared" ca="1" si="3"/>
        <v>0</v>
      </c>
      <c r="AZ28" s="231">
        <f t="shared" ca="1" si="4"/>
        <v>0</v>
      </c>
      <c r="BA28" s="231"/>
    </row>
    <row r="29" spans="1:54" ht="12.75" customHeight="1" x14ac:dyDescent="0.25">
      <c r="A29" s="245"/>
      <c r="B29" s="245"/>
      <c r="C29" s="245"/>
      <c r="D29" s="245"/>
      <c r="E29" s="237"/>
      <c r="F29" s="267" t="s">
        <v>283</v>
      </c>
      <c r="G29" s="452">
        <f ca="1">I23/I$26</f>
        <v>6.1659922427800513</v>
      </c>
      <c r="H29" s="268" t="s">
        <v>40</v>
      </c>
      <c r="I29" s="265"/>
      <c r="J29" s="265"/>
      <c r="K29" s="269"/>
      <c r="L29" s="237"/>
      <c r="M29" s="237"/>
      <c r="N29" s="237"/>
      <c r="O29" s="262"/>
      <c r="P29" s="237"/>
      <c r="R29" s="344" t="s">
        <v>14</v>
      </c>
      <c r="S29" s="457">
        <f ca="1">V15*$R$39</f>
        <v>11.796830799875252</v>
      </c>
      <c r="T29" s="458"/>
      <c r="U29" s="459" t="s">
        <v>14</v>
      </c>
      <c r="V29" s="459"/>
      <c r="W29" s="460">
        <f ca="1">S29/S$25</f>
        <v>0.18340915634589544</v>
      </c>
      <c r="Y29" s="245"/>
      <c r="Z29" s="245"/>
      <c r="AA29" s="245"/>
      <c r="AB29" s="245"/>
      <c r="AC29" s="245"/>
      <c r="AD29" s="245"/>
      <c r="AE29" s="245"/>
      <c r="AF29" s="245"/>
      <c r="AG29" s="245"/>
      <c r="AH29" s="245"/>
      <c r="AI29" s="245"/>
      <c r="AJ29" s="245"/>
      <c r="AK29" s="245"/>
      <c r="AL29" s="245"/>
      <c r="AM29" s="245"/>
      <c r="AN29" s="245"/>
      <c r="AO29" s="245"/>
      <c r="AP29" s="245"/>
      <c r="AQ29" s="245"/>
      <c r="AS29" s="231" t="str">
        <f t="shared" ca="1" si="1"/>
        <v/>
      </c>
      <c r="AT29" s="277">
        <f t="shared" ca="1" si="5"/>
        <v>0</v>
      </c>
      <c r="AU29" s="277"/>
      <c r="AV29" s="277">
        <f t="shared" ca="1" si="2"/>
        <v>0</v>
      </c>
      <c r="AW29" s="277">
        <f t="shared" ca="1" si="6"/>
        <v>0</v>
      </c>
      <c r="AX29" s="413">
        <f t="shared" ca="1" si="0"/>
        <v>0</v>
      </c>
      <c r="AY29" s="278">
        <f t="shared" ca="1" si="3"/>
        <v>0</v>
      </c>
      <c r="AZ29" s="231">
        <f t="shared" ca="1" si="4"/>
        <v>0</v>
      </c>
      <c r="BA29" s="287"/>
      <c r="BB29" s="245"/>
    </row>
    <row r="30" spans="1:54" s="245" customFormat="1" ht="14.45" customHeight="1" x14ac:dyDescent="0.25">
      <c r="E30" s="237"/>
      <c r="F30" s="267" t="s">
        <v>41</v>
      </c>
      <c r="G30" s="452">
        <f t="shared" ref="G30" ca="1" si="7">I24/I$26</f>
        <v>4.3744455453362354</v>
      </c>
      <c r="H30" s="268" t="s">
        <v>40</v>
      </c>
      <c r="I30" s="265"/>
      <c r="J30" s="265"/>
      <c r="K30" s="269"/>
      <c r="L30" s="237"/>
      <c r="M30" s="237"/>
      <c r="N30" s="237"/>
      <c r="O30" s="262"/>
      <c r="P30" s="237"/>
      <c r="R30" s="342" t="s">
        <v>522</v>
      </c>
      <c r="S30" s="461"/>
      <c r="T30" s="458"/>
      <c r="U30" s="458"/>
      <c r="V30" s="458"/>
      <c r="W30" s="462" t="s">
        <v>281</v>
      </c>
      <c r="AS30" s="231" t="str">
        <f t="shared" ca="1" si="1"/>
        <v/>
      </c>
      <c r="AT30" s="277">
        <f t="shared" ca="1" si="5"/>
        <v>0</v>
      </c>
      <c r="AU30" s="277"/>
      <c r="AV30" s="277">
        <f t="shared" ca="1" si="2"/>
        <v>0</v>
      </c>
      <c r="AW30" s="277">
        <f t="shared" ca="1" si="6"/>
        <v>0</v>
      </c>
      <c r="AX30" s="413">
        <f t="shared" ca="1" si="0"/>
        <v>0</v>
      </c>
      <c r="AY30" s="278">
        <f t="shared" ca="1" si="3"/>
        <v>0</v>
      </c>
      <c r="AZ30" s="231">
        <f t="shared" ca="1" si="4"/>
        <v>0</v>
      </c>
      <c r="BA30" s="231"/>
      <c r="BB30" s="232"/>
    </row>
    <row r="31" spans="1:54" ht="13.7" customHeight="1" x14ac:dyDescent="0.25">
      <c r="A31" s="245"/>
      <c r="B31" s="245"/>
      <c r="C31" s="245"/>
      <c r="D31" s="245"/>
      <c r="E31" s="237"/>
      <c r="F31" s="267" t="s">
        <v>185</v>
      </c>
      <c r="G31" s="452" t="str">
        <f ca="1">IFERROR(I25/I$26,"-")</f>
        <v>-</v>
      </c>
      <c r="H31" s="268" t="s">
        <v>40</v>
      </c>
      <c r="I31" s="265"/>
      <c r="J31" s="265"/>
      <c r="K31" s="269"/>
      <c r="L31" s="237"/>
      <c r="M31" s="237"/>
      <c r="N31" s="237"/>
      <c r="O31" s="262"/>
      <c r="P31" s="237"/>
      <c r="Q31" s="341"/>
      <c r="R31" s="343" t="s">
        <v>42</v>
      </c>
      <c r="S31" s="457">
        <f ca="1">IFERROR(IF(S26-S$25&gt;0,S26-S$25,"N/A"),"N/A")</f>
        <v>8.4194187498900419</v>
      </c>
      <c r="T31" s="463"/>
      <c r="U31" s="459"/>
      <c r="V31" s="459"/>
      <c r="W31" s="464" t="str">
        <f ca="1">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ca="1" si="1"/>
        <v/>
      </c>
      <c r="AT31" s="277">
        <f t="shared" ca="1" si="5"/>
        <v>0</v>
      </c>
      <c r="AU31" s="277"/>
      <c r="AV31" s="277">
        <f t="shared" ca="1" si="2"/>
        <v>0</v>
      </c>
      <c r="AW31" s="277">
        <f t="shared" ca="1" si="6"/>
        <v>0</v>
      </c>
      <c r="AX31" s="413">
        <f t="shared" ca="1" si="0"/>
        <v>0</v>
      </c>
      <c r="AY31" s="278">
        <f t="shared" ca="1" si="3"/>
        <v>0</v>
      </c>
      <c r="AZ31" s="231">
        <f t="shared" ca="1"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 ca="1">IFERROR(IF(S27-S$25&gt;0,S27-S$25,"N/A"),"N/A")</f>
        <v>N/A</v>
      </c>
      <c r="T32" s="463"/>
      <c r="U32" s="459"/>
      <c r="V32" s="459"/>
      <c r="W32" s="464" t="str">
        <f ca="1">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ca="1" si="1"/>
        <v/>
      </c>
      <c r="AT32" s="277">
        <f t="shared" ca="1" si="5"/>
        <v>0</v>
      </c>
      <c r="AU32" s="277"/>
      <c r="AV32" s="277">
        <f t="shared" ca="1" si="2"/>
        <v>0</v>
      </c>
      <c r="AW32" s="277">
        <f t="shared" ca="1" si="6"/>
        <v>0</v>
      </c>
      <c r="AX32" s="413">
        <f t="shared" ca="1" si="0"/>
        <v>0</v>
      </c>
      <c r="AY32" s="278">
        <f t="shared" ca="1" si="3"/>
        <v>0</v>
      </c>
      <c r="AZ32" s="231">
        <f t="shared" ca="1" si="4"/>
        <v>0</v>
      </c>
      <c r="BA32" s="231"/>
    </row>
    <row r="33" spans="1:53" ht="13.5" customHeight="1" x14ac:dyDescent="0.25">
      <c r="A33" s="245"/>
      <c r="B33" s="245"/>
      <c r="C33" s="245"/>
      <c r="D33" s="245"/>
      <c r="E33" s="237"/>
      <c r="F33" s="865" t="s">
        <v>152</v>
      </c>
      <c r="G33" s="260" t="s">
        <v>42</v>
      </c>
      <c r="H33" s="261"/>
      <c r="I33" s="428">
        <f ca="1">V9</f>
        <v>4281.7088375223057</v>
      </c>
      <c r="J33" s="262"/>
      <c r="K33" s="263"/>
      <c r="L33" s="237"/>
      <c r="M33" s="237"/>
      <c r="N33" s="237"/>
      <c r="O33" s="262"/>
      <c r="P33" s="237"/>
      <c r="Q33" s="285"/>
      <c r="R33" s="343" t="s">
        <v>168</v>
      </c>
      <c r="S33" s="457" t="str">
        <f ca="1">IFERROR(IF(S28-S$25&gt;0,S28-S$25,"N/A"),"N/A")</f>
        <v>N/A</v>
      </c>
      <c r="T33" s="463"/>
      <c r="U33" s="459"/>
      <c r="V33" s="459"/>
      <c r="W33" s="464" t="str">
        <f ca="1">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ca="1" si="1"/>
        <v/>
      </c>
      <c r="AT33" s="277">
        <f t="shared" ca="1" si="5"/>
        <v>0</v>
      </c>
      <c r="AU33" s="277"/>
      <c r="AV33" s="277">
        <f t="shared" ca="1" si="2"/>
        <v>0</v>
      </c>
      <c r="AW33" s="277">
        <f t="shared" ca="1" si="6"/>
        <v>0</v>
      </c>
      <c r="AX33" s="413">
        <f t="shared" ca="1" si="0"/>
        <v>0</v>
      </c>
      <c r="AY33" s="278">
        <f t="shared" ca="1" si="3"/>
        <v>0</v>
      </c>
      <c r="AZ33" s="231">
        <f t="shared" ca="1" si="4"/>
        <v>0</v>
      </c>
      <c r="BA33" s="231"/>
    </row>
    <row r="34" spans="1:53" ht="13.5" customHeight="1" x14ac:dyDescent="0.25">
      <c r="A34" s="245"/>
      <c r="B34" s="245"/>
      <c r="C34" s="245"/>
      <c r="D34" s="245"/>
      <c r="E34" s="237"/>
      <c r="F34" s="865"/>
      <c r="G34" s="260" t="s">
        <v>32</v>
      </c>
      <c r="H34" s="261"/>
      <c r="I34" s="428">
        <f ca="1">V10</f>
        <v>6035.2753747620509</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ca="1" si="1"/>
        <v/>
      </c>
      <c r="AT34" s="277">
        <f t="shared" ca="1" si="5"/>
        <v>0</v>
      </c>
      <c r="AU34" s="277"/>
      <c r="AV34" s="277">
        <f t="shared" ca="1" si="2"/>
        <v>0</v>
      </c>
      <c r="AW34" s="277">
        <f t="shared" ca="1" si="6"/>
        <v>0</v>
      </c>
      <c r="AX34" s="413">
        <f t="shared" ca="1" si="0"/>
        <v>0</v>
      </c>
      <c r="AY34" s="278">
        <f t="shared" ca="1" si="3"/>
        <v>0</v>
      </c>
      <c r="AZ34" s="231">
        <f t="shared" ca="1" si="4"/>
        <v>0</v>
      </c>
      <c r="BA34" s="231"/>
    </row>
    <row r="35" spans="1:53" ht="13.7" customHeight="1" thickBot="1" x14ac:dyDescent="0.3">
      <c r="A35" s="245"/>
      <c r="B35" s="245"/>
      <c r="C35" s="245"/>
      <c r="D35" s="245"/>
      <c r="E35" s="245"/>
      <c r="F35" s="865"/>
      <c r="G35" s="260" t="s">
        <v>38</v>
      </c>
      <c r="H35" s="261"/>
      <c r="I35" s="428">
        <f ca="1">V11</f>
        <v>2857.0960762287164</v>
      </c>
      <c r="J35" s="237"/>
      <c r="K35" s="243"/>
      <c r="L35" s="237"/>
      <c r="M35" s="237"/>
      <c r="N35" s="237"/>
      <c r="O35" s="237"/>
      <c r="P35" s="245"/>
      <c r="Q35" s="285"/>
      <c r="R35" s="898" t="s">
        <v>523</v>
      </c>
      <c r="S35" s="899"/>
      <c r="T35" s="899"/>
      <c r="U35" s="899"/>
      <c r="V35" s="899"/>
      <c r="W35" s="465">
        <f ca="1">$G$10*M19</f>
        <v>90</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ca="1" si="1"/>
        <v/>
      </c>
      <c r="AT35" s="277">
        <f t="shared" ca="1" si="5"/>
        <v>0</v>
      </c>
      <c r="AU35" s="277"/>
      <c r="AV35" s="277">
        <f t="shared" ca="1" si="2"/>
        <v>0</v>
      </c>
      <c r="AW35" s="277">
        <f t="shared" ca="1" si="6"/>
        <v>0</v>
      </c>
      <c r="AX35" s="413">
        <f t="shared" ca="1" si="0"/>
        <v>0</v>
      </c>
      <c r="AY35" s="278">
        <f t="shared" ca="1" si="3"/>
        <v>0</v>
      </c>
      <c r="AZ35" s="231">
        <f t="shared" ca="1"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ca="1" si="1"/>
        <v/>
      </c>
      <c r="AT36" s="324">
        <f t="shared" ca="1" si="5"/>
        <v>0</v>
      </c>
      <c r="AU36" s="324"/>
      <c r="AV36" s="324">
        <f t="shared" ca="1" si="2"/>
        <v>0</v>
      </c>
      <c r="AW36" s="324">
        <f t="shared" ca="1" si="6"/>
        <v>0</v>
      </c>
      <c r="AX36" s="413">
        <f t="shared" ca="1" si="0"/>
        <v>0</v>
      </c>
      <c r="AY36" s="278">
        <f t="shared" ca="1" si="3"/>
        <v>0</v>
      </c>
      <c r="AZ36" s="287">
        <f t="shared" ca="1"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ca="1" si="1"/>
        <v/>
      </c>
      <c r="AT37" s="324">
        <f t="shared" ca="1" si="5"/>
        <v>0</v>
      </c>
      <c r="AU37" s="324"/>
      <c r="AV37" s="324">
        <f t="shared" ca="1" si="2"/>
        <v>0</v>
      </c>
      <c r="AW37" s="324">
        <f t="shared" ca="1" si="6"/>
        <v>0</v>
      </c>
      <c r="AX37" s="413">
        <f t="shared" ca="1" si="0"/>
        <v>0</v>
      </c>
      <c r="AY37" s="278">
        <f t="shared" ca="1" si="3"/>
        <v>0</v>
      </c>
      <c r="AZ37" s="287">
        <f t="shared" ca="1"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48" t="s">
        <v>18</v>
      </c>
      <c r="R38" s="280" t="s">
        <v>147</v>
      </c>
      <c r="S38" s="632" t="s">
        <v>555</v>
      </c>
      <c r="T38" s="633"/>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ca="1" si="1"/>
        <v/>
      </c>
      <c r="AT38" s="324">
        <f t="shared" ca="1" si="5"/>
        <v>0</v>
      </c>
      <c r="AU38" s="324"/>
      <c r="AV38" s="324">
        <f t="shared" ca="1" si="2"/>
        <v>0</v>
      </c>
      <c r="AW38" s="324">
        <f t="shared" ca="1" si="6"/>
        <v>0</v>
      </c>
      <c r="AX38" s="413">
        <f t="shared" ca="1" si="0"/>
        <v>0</v>
      </c>
      <c r="AY38" s="278">
        <f t="shared" ca="1" si="3"/>
        <v>0</v>
      </c>
      <c r="AZ38" s="287">
        <f t="shared" ca="1"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31"/>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ca="1" si="1"/>
        <v/>
      </c>
      <c r="AT39" s="324">
        <f t="shared" ca="1" si="5"/>
        <v>0</v>
      </c>
      <c r="AU39" s="324"/>
      <c r="AV39" s="324">
        <f t="shared" ca="1" si="2"/>
        <v>0</v>
      </c>
      <c r="AW39" s="324">
        <f t="shared" ca="1" si="6"/>
        <v>0</v>
      </c>
      <c r="AX39" s="413">
        <f t="shared" ca="1" si="0"/>
        <v>0</v>
      </c>
      <c r="AY39" s="278">
        <f t="shared" ca="1" si="3"/>
        <v>0</v>
      </c>
      <c r="AZ39" s="287">
        <f t="shared" ca="1"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ca="1" si="1"/>
        <v/>
      </c>
      <c r="AT40" s="324">
        <f t="shared" ca="1" si="5"/>
        <v>0</v>
      </c>
      <c r="AU40" s="324"/>
      <c r="AV40" s="324">
        <f t="shared" ca="1" si="2"/>
        <v>0</v>
      </c>
      <c r="AW40" s="324">
        <f t="shared" ca="1" si="6"/>
        <v>0</v>
      </c>
      <c r="AX40" s="413">
        <f t="shared" ca="1" si="0"/>
        <v>0</v>
      </c>
      <c r="AY40" s="278">
        <f t="shared" ca="1" si="3"/>
        <v>0</v>
      </c>
      <c r="AZ40" s="287">
        <f t="shared" ca="1" si="4"/>
        <v>0</v>
      </c>
      <c r="BA40" s="231"/>
    </row>
    <row r="41" spans="1:53" s="245" customFormat="1" ht="15" x14ac:dyDescent="0.25">
      <c r="J41" s="307"/>
      <c r="K41" s="307"/>
      <c r="L41" s="307"/>
      <c r="M41" s="307"/>
      <c r="Z41" s="237"/>
      <c r="AS41" s="287" t="str">
        <f t="shared" ca="1" si="1"/>
        <v/>
      </c>
      <c r="AT41" s="324">
        <f t="shared" ca="1" si="5"/>
        <v>0</v>
      </c>
      <c r="AU41" s="324"/>
      <c r="AV41" s="324">
        <f t="shared" ca="1" si="2"/>
        <v>0</v>
      </c>
      <c r="AW41" s="324">
        <f t="shared" ca="1" si="6"/>
        <v>0</v>
      </c>
      <c r="AX41" s="413">
        <f t="shared" ca="1" si="0"/>
        <v>0</v>
      </c>
      <c r="AY41" s="278">
        <f t="shared" ca="1" si="3"/>
        <v>0</v>
      </c>
      <c r="AZ41" s="287">
        <f t="shared" ca="1" si="4"/>
        <v>0</v>
      </c>
      <c r="BA41" s="287"/>
    </row>
    <row r="42" spans="1:53" s="245" customFormat="1" ht="15" x14ac:dyDescent="0.25">
      <c r="R42" s="307"/>
      <c r="AS42" s="287" t="str">
        <f t="shared" ca="1" si="1"/>
        <v/>
      </c>
      <c r="AT42" s="324">
        <f t="shared" ca="1" si="5"/>
        <v>0</v>
      </c>
      <c r="AU42" s="324"/>
      <c r="AV42" s="324">
        <f t="shared" ca="1" si="2"/>
        <v>0</v>
      </c>
      <c r="AW42" s="324">
        <f t="shared" ca="1" si="6"/>
        <v>0</v>
      </c>
      <c r="AX42" s="413">
        <f t="shared" ca="1" si="0"/>
        <v>0</v>
      </c>
      <c r="AY42" s="278">
        <f t="shared" ca="1" si="3"/>
        <v>0</v>
      </c>
      <c r="AZ42" s="287">
        <f t="shared" ca="1" si="4"/>
        <v>0</v>
      </c>
      <c r="BA42" s="287"/>
    </row>
    <row r="43" spans="1:53" s="245" customFormat="1" ht="15" x14ac:dyDescent="0.25">
      <c r="R43" s="307"/>
      <c r="AS43" s="287" t="str">
        <f t="shared" ca="1" si="1"/>
        <v/>
      </c>
      <c r="AT43" s="324">
        <f t="shared" ca="1" si="5"/>
        <v>0</v>
      </c>
      <c r="AU43" s="324"/>
      <c r="AV43" s="324">
        <f t="shared" ca="1" si="2"/>
        <v>0</v>
      </c>
      <c r="AW43" s="324">
        <f t="shared" ca="1" si="6"/>
        <v>0</v>
      </c>
      <c r="AX43" s="413">
        <f t="shared" ca="1" si="0"/>
        <v>0</v>
      </c>
      <c r="AY43" s="278">
        <f t="shared" ca="1" si="3"/>
        <v>0</v>
      </c>
      <c r="AZ43" s="287">
        <f t="shared" ca="1" si="4"/>
        <v>0</v>
      </c>
      <c r="BA43" s="287"/>
    </row>
    <row r="44" spans="1:53" s="245" customFormat="1" ht="15" x14ac:dyDescent="0.25">
      <c r="R44" s="307"/>
      <c r="S44" s="407"/>
      <c r="AS44" s="287" t="str">
        <f t="shared" ca="1" si="1"/>
        <v/>
      </c>
      <c r="AT44" s="324">
        <f t="shared" ca="1" si="5"/>
        <v>0</v>
      </c>
      <c r="AU44" s="324"/>
      <c r="AV44" s="324">
        <f t="shared" ca="1" si="2"/>
        <v>0</v>
      </c>
      <c r="AW44" s="324">
        <f t="shared" ca="1" si="6"/>
        <v>0</v>
      </c>
      <c r="AX44" s="413">
        <f t="shared" ca="1" si="0"/>
        <v>0</v>
      </c>
      <c r="AY44" s="278">
        <f t="shared" ca="1" si="3"/>
        <v>0</v>
      </c>
      <c r="AZ44" s="287">
        <f t="shared" ca="1" si="4"/>
        <v>0</v>
      </c>
      <c r="BA44" s="287"/>
    </row>
    <row r="45" spans="1:53" s="245" customFormat="1" ht="15" x14ac:dyDescent="0.25">
      <c r="R45" s="409"/>
      <c r="S45" s="384"/>
      <c r="AS45" s="287" t="str">
        <f t="shared" ca="1" si="1"/>
        <v/>
      </c>
      <c r="AT45" s="324">
        <f t="shared" ca="1" si="5"/>
        <v>0</v>
      </c>
      <c r="AU45" s="324"/>
      <c r="AV45" s="324">
        <f t="shared" ca="1" si="2"/>
        <v>0</v>
      </c>
      <c r="AW45" s="324">
        <f t="shared" ca="1" si="6"/>
        <v>0</v>
      </c>
      <c r="AX45" s="413">
        <f t="shared" ca="1" si="0"/>
        <v>0</v>
      </c>
      <c r="AY45" s="278">
        <f t="shared" ca="1" si="3"/>
        <v>0</v>
      </c>
      <c r="AZ45" s="287">
        <f t="shared" ca="1" si="4"/>
        <v>0</v>
      </c>
      <c r="BA45" s="287"/>
    </row>
    <row r="46" spans="1:53" s="245" customFormat="1" ht="15" x14ac:dyDescent="0.25">
      <c r="S46" s="384"/>
      <c r="AS46" s="287" t="str">
        <f t="shared" ca="1" si="1"/>
        <v/>
      </c>
      <c r="AT46" s="324">
        <f t="shared" ca="1" si="5"/>
        <v>0</v>
      </c>
      <c r="AU46" s="324"/>
      <c r="AV46" s="324">
        <f t="shared" ca="1" si="2"/>
        <v>0</v>
      </c>
      <c r="AW46" s="324">
        <f t="shared" ca="1" si="6"/>
        <v>0</v>
      </c>
      <c r="AX46" s="413">
        <f t="shared" ca="1" si="0"/>
        <v>0</v>
      </c>
      <c r="AY46" s="278">
        <f t="shared" ca="1" si="3"/>
        <v>0</v>
      </c>
      <c r="AZ46" s="287">
        <f t="shared" ca="1" si="4"/>
        <v>0</v>
      </c>
      <c r="BA46" s="287"/>
    </row>
    <row r="47" spans="1:53" s="245" customFormat="1" ht="15" x14ac:dyDescent="0.25">
      <c r="S47" s="384"/>
      <c r="AS47" s="287" t="str">
        <f t="shared" ca="1" si="1"/>
        <v/>
      </c>
      <c r="AT47" s="324">
        <f t="shared" ca="1" si="5"/>
        <v>0</v>
      </c>
      <c r="AU47" s="324"/>
      <c r="AV47" s="324">
        <f t="shared" ca="1" si="2"/>
        <v>0</v>
      </c>
      <c r="AW47" s="324">
        <f t="shared" ca="1" si="6"/>
        <v>0</v>
      </c>
      <c r="AX47" s="413">
        <f t="shared" ca="1" si="0"/>
        <v>0</v>
      </c>
      <c r="AY47" s="278">
        <f t="shared" ca="1" si="3"/>
        <v>0</v>
      </c>
      <c r="AZ47" s="287">
        <f t="shared" ca="1" si="4"/>
        <v>0</v>
      </c>
      <c r="BA47" s="287"/>
    </row>
    <row r="48" spans="1:53" s="245" customFormat="1" ht="15" x14ac:dyDescent="0.25">
      <c r="S48" s="384"/>
      <c r="AS48" s="287" t="str">
        <f t="shared" ca="1" si="1"/>
        <v/>
      </c>
      <c r="AT48" s="324">
        <f t="shared" ca="1" si="5"/>
        <v>0</v>
      </c>
      <c r="AU48" s="324"/>
      <c r="AV48" s="324">
        <f t="shared" ca="1" si="2"/>
        <v>0</v>
      </c>
      <c r="AW48" s="324">
        <f t="shared" ca="1" si="6"/>
        <v>0</v>
      </c>
      <c r="AX48" s="413">
        <f t="shared" ca="1" si="0"/>
        <v>0</v>
      </c>
      <c r="AY48" s="278">
        <f t="shared" ca="1" si="3"/>
        <v>0</v>
      </c>
      <c r="AZ48" s="287">
        <f t="shared" ca="1" si="4"/>
        <v>0</v>
      </c>
      <c r="BA48" s="287"/>
    </row>
    <row r="49" spans="19:53" s="245" customFormat="1" ht="15" x14ac:dyDescent="0.25">
      <c r="S49" s="384"/>
      <c r="AS49" s="287" t="str">
        <f t="shared" ca="1" si="1"/>
        <v/>
      </c>
      <c r="AT49" s="324">
        <f t="shared" ca="1" si="5"/>
        <v>0</v>
      </c>
      <c r="AU49" s="324"/>
      <c r="AV49" s="324">
        <f t="shared" ca="1" si="2"/>
        <v>0</v>
      </c>
      <c r="AW49" s="324">
        <f t="shared" ca="1" si="6"/>
        <v>0</v>
      </c>
      <c r="AX49" s="413">
        <f t="shared" ca="1" si="0"/>
        <v>0</v>
      </c>
      <c r="AY49" s="278">
        <f t="shared" ca="1" si="3"/>
        <v>0</v>
      </c>
      <c r="AZ49" s="287">
        <f t="shared" ca="1" si="4"/>
        <v>0</v>
      </c>
      <c r="BA49" s="287"/>
    </row>
    <row r="50" spans="19:53" s="245" customFormat="1" ht="15" x14ac:dyDescent="0.25">
      <c r="AS50" s="287" t="str">
        <f t="shared" ca="1" si="1"/>
        <v/>
      </c>
      <c r="AT50" s="324">
        <f t="shared" ca="1" si="5"/>
        <v>0</v>
      </c>
      <c r="AU50" s="324"/>
      <c r="AV50" s="324">
        <f t="shared" ca="1" si="2"/>
        <v>0</v>
      </c>
      <c r="AW50" s="324">
        <f t="shared" ca="1" si="6"/>
        <v>0</v>
      </c>
      <c r="AX50" s="413">
        <f t="shared" ca="1" si="0"/>
        <v>0</v>
      </c>
      <c r="AY50" s="278">
        <f t="shared" ca="1" si="3"/>
        <v>0</v>
      </c>
      <c r="AZ50" s="287">
        <f t="shared" ca="1" si="4"/>
        <v>0</v>
      </c>
      <c r="BA50" s="287"/>
    </row>
    <row r="51" spans="19:53" s="245" customFormat="1" ht="15" x14ac:dyDescent="0.25">
      <c r="AS51" s="287" t="str">
        <f t="shared" ca="1" si="1"/>
        <v/>
      </c>
      <c r="AT51" s="324">
        <f t="shared" ca="1" si="5"/>
        <v>0</v>
      </c>
      <c r="AU51" s="324"/>
      <c r="AV51" s="324">
        <f t="shared" ca="1" si="2"/>
        <v>0</v>
      </c>
      <c r="AW51" s="324">
        <f t="shared" ca="1" si="6"/>
        <v>0</v>
      </c>
      <c r="AX51" s="413">
        <f t="shared" ca="1" si="0"/>
        <v>0</v>
      </c>
      <c r="AY51" s="278">
        <f t="shared" ca="1" si="3"/>
        <v>0</v>
      </c>
      <c r="AZ51" s="287">
        <f t="shared" ca="1" si="4"/>
        <v>0</v>
      </c>
      <c r="BA51" s="287"/>
    </row>
    <row r="52" spans="19:53" s="245" customFormat="1" ht="15" x14ac:dyDescent="0.25">
      <c r="AS52" s="287" t="str">
        <f t="shared" ca="1" si="1"/>
        <v/>
      </c>
      <c r="AT52" s="324">
        <f t="shared" ca="1" si="5"/>
        <v>0</v>
      </c>
      <c r="AU52" s="324"/>
      <c r="AV52" s="324">
        <f t="shared" ca="1" si="2"/>
        <v>0</v>
      </c>
      <c r="AW52" s="324">
        <f t="shared" ca="1" si="6"/>
        <v>0</v>
      </c>
      <c r="AX52" s="413">
        <f t="shared" ca="1" si="0"/>
        <v>0</v>
      </c>
      <c r="AY52" s="278">
        <f t="shared" ca="1" si="3"/>
        <v>0</v>
      </c>
      <c r="AZ52" s="287">
        <f t="shared" ca="1" si="4"/>
        <v>0</v>
      </c>
      <c r="BA52" s="287"/>
    </row>
    <row r="53" spans="19:53" s="245" customFormat="1" ht="15" x14ac:dyDescent="0.25">
      <c r="AS53" s="287" t="str">
        <f t="shared" ca="1" si="1"/>
        <v/>
      </c>
      <c r="AT53" s="324">
        <f t="shared" ca="1" si="5"/>
        <v>0</v>
      </c>
      <c r="AU53" s="324"/>
      <c r="AV53" s="324">
        <f t="shared" ca="1" si="2"/>
        <v>0</v>
      </c>
      <c r="AW53" s="324">
        <f t="shared" ca="1" si="6"/>
        <v>0</v>
      </c>
      <c r="AX53" s="413">
        <f t="shared" ca="1" si="0"/>
        <v>0</v>
      </c>
      <c r="AY53" s="278">
        <f t="shared" ca="1" si="3"/>
        <v>0</v>
      </c>
      <c r="AZ53" s="287">
        <f t="shared" ca="1" si="4"/>
        <v>0</v>
      </c>
      <c r="BA53" s="287"/>
    </row>
    <row r="54" spans="19:53" s="245" customFormat="1" ht="15" x14ac:dyDescent="0.25">
      <c r="AS54" s="287" t="str">
        <f t="shared" ca="1" si="1"/>
        <v/>
      </c>
      <c r="AT54" s="324">
        <f t="shared" ca="1" si="5"/>
        <v>0</v>
      </c>
      <c r="AU54" s="324"/>
      <c r="AV54" s="324">
        <f t="shared" ca="1" si="2"/>
        <v>0</v>
      </c>
      <c r="AW54" s="324">
        <f t="shared" ca="1" si="6"/>
        <v>0</v>
      </c>
      <c r="AX54" s="413">
        <f t="shared" ca="1" si="0"/>
        <v>0</v>
      </c>
      <c r="AY54" s="278">
        <f t="shared" ca="1" si="3"/>
        <v>0</v>
      </c>
      <c r="AZ54" s="287">
        <f t="shared" ca="1" si="4"/>
        <v>0</v>
      </c>
      <c r="BA54" s="287"/>
    </row>
    <row r="55" spans="19:53" s="245" customFormat="1" ht="15" x14ac:dyDescent="0.25">
      <c r="AS55" s="287" t="str">
        <f t="shared" ca="1" si="1"/>
        <v/>
      </c>
      <c r="AT55" s="324">
        <f t="shared" ca="1" si="5"/>
        <v>0</v>
      </c>
      <c r="AU55" s="324"/>
      <c r="AV55" s="324">
        <f t="shared" ca="1" si="2"/>
        <v>0</v>
      </c>
      <c r="AW55" s="324">
        <f t="shared" ca="1" si="6"/>
        <v>0</v>
      </c>
      <c r="AX55" s="413">
        <f t="shared" ca="1" si="0"/>
        <v>0</v>
      </c>
      <c r="AY55" s="278">
        <f t="shared" ca="1" si="3"/>
        <v>0</v>
      </c>
      <c r="AZ55" s="287">
        <f t="shared" ca="1" si="4"/>
        <v>0</v>
      </c>
      <c r="BA55" s="287"/>
    </row>
    <row r="56" spans="19:53" s="245" customFormat="1" ht="15" x14ac:dyDescent="0.25">
      <c r="AS56" s="287" t="str">
        <f t="shared" ca="1" si="1"/>
        <v/>
      </c>
      <c r="AT56" s="324">
        <f t="shared" ca="1" si="5"/>
        <v>0</v>
      </c>
      <c r="AU56" s="324"/>
      <c r="AV56" s="324">
        <f t="shared" ca="1" si="2"/>
        <v>0</v>
      </c>
      <c r="AW56" s="324">
        <f t="shared" ca="1" si="6"/>
        <v>0</v>
      </c>
      <c r="AX56" s="413">
        <f t="shared" ca="1" si="0"/>
        <v>0</v>
      </c>
      <c r="AY56" s="278">
        <f t="shared" ca="1" si="3"/>
        <v>0</v>
      </c>
      <c r="AZ56" s="287">
        <f t="shared" ca="1" si="4"/>
        <v>0</v>
      </c>
      <c r="BA56" s="287"/>
    </row>
    <row r="57" spans="19:53" s="245" customFormat="1" ht="15" x14ac:dyDescent="0.25">
      <c r="AS57" s="287" t="str">
        <f t="shared" ca="1" si="1"/>
        <v/>
      </c>
      <c r="AT57" s="324">
        <f t="shared" ca="1" si="5"/>
        <v>0</v>
      </c>
      <c r="AU57" s="324"/>
      <c r="AV57" s="324">
        <f t="shared" ca="1" si="2"/>
        <v>0</v>
      </c>
      <c r="AW57" s="324">
        <f t="shared" ca="1" si="6"/>
        <v>0</v>
      </c>
      <c r="AX57" s="413">
        <f t="shared" ca="1" si="0"/>
        <v>0</v>
      </c>
      <c r="AY57" s="278">
        <f t="shared" ca="1" si="3"/>
        <v>0</v>
      </c>
      <c r="AZ57" s="287">
        <f t="shared" ca="1" si="4"/>
        <v>0</v>
      </c>
      <c r="BA57" s="287"/>
    </row>
    <row r="58" spans="19:53" s="245" customFormat="1" ht="15" x14ac:dyDescent="0.25">
      <c r="AS58" s="287" t="str">
        <f t="shared" ca="1" si="1"/>
        <v/>
      </c>
      <c r="AT58" s="324">
        <f t="shared" ca="1" si="5"/>
        <v>0</v>
      </c>
      <c r="AU58" s="324"/>
      <c r="AV58" s="324">
        <f t="shared" ca="1" si="2"/>
        <v>0</v>
      </c>
      <c r="AW58" s="324">
        <f t="shared" ca="1" si="6"/>
        <v>0</v>
      </c>
      <c r="AX58" s="413">
        <f t="shared" ca="1" si="0"/>
        <v>0</v>
      </c>
      <c r="AY58" s="278">
        <f t="shared" ca="1" si="3"/>
        <v>0</v>
      </c>
      <c r="AZ58" s="287">
        <f t="shared" ca="1" si="4"/>
        <v>0</v>
      </c>
      <c r="BA58" s="287"/>
    </row>
    <row r="59" spans="19:53" s="245" customFormat="1" ht="15" x14ac:dyDescent="0.25">
      <c r="AS59" s="287" t="str">
        <f t="shared" ca="1" si="1"/>
        <v/>
      </c>
      <c r="AT59" s="324">
        <f t="shared" ca="1" si="5"/>
        <v>0</v>
      </c>
      <c r="AU59" s="324"/>
      <c r="AV59" s="324">
        <f t="shared" ca="1" si="2"/>
        <v>0</v>
      </c>
      <c r="AW59" s="324">
        <f t="shared" ca="1" si="6"/>
        <v>0</v>
      </c>
      <c r="AX59" s="413">
        <f t="shared" ca="1" si="0"/>
        <v>0</v>
      </c>
      <c r="AY59" s="278">
        <f t="shared" ca="1" si="3"/>
        <v>0</v>
      </c>
      <c r="AZ59" s="287">
        <f t="shared" ca="1" si="4"/>
        <v>0</v>
      </c>
      <c r="BA59" s="287"/>
    </row>
    <row r="60" spans="19:53" s="245" customFormat="1" ht="15" x14ac:dyDescent="0.25">
      <c r="AS60" s="287" t="str">
        <f t="shared" ca="1" si="1"/>
        <v/>
      </c>
      <c r="AT60" s="324">
        <f t="shared" ca="1" si="5"/>
        <v>0</v>
      </c>
      <c r="AU60" s="324"/>
      <c r="AV60" s="324">
        <f t="shared" ca="1" si="2"/>
        <v>0</v>
      </c>
      <c r="AW60" s="324">
        <f t="shared" ca="1" si="6"/>
        <v>0</v>
      </c>
      <c r="AX60" s="413">
        <f t="shared" ca="1" si="0"/>
        <v>0</v>
      </c>
      <c r="AY60" s="278">
        <f t="shared" ca="1" si="3"/>
        <v>0</v>
      </c>
      <c r="AZ60" s="287">
        <f t="shared" ca="1" si="4"/>
        <v>0</v>
      </c>
      <c r="BA60" s="287"/>
    </row>
    <row r="61" spans="19:53" s="245" customFormat="1" ht="15" x14ac:dyDescent="0.25">
      <c r="AS61" s="287" t="str">
        <f t="shared" ca="1" si="1"/>
        <v/>
      </c>
      <c r="AT61" s="324">
        <f t="shared" ca="1" si="5"/>
        <v>0</v>
      </c>
      <c r="AU61" s="324"/>
      <c r="AV61" s="324">
        <f t="shared" ca="1" si="2"/>
        <v>0</v>
      </c>
      <c r="AW61" s="324">
        <f t="shared" ca="1" si="6"/>
        <v>0</v>
      </c>
      <c r="AX61" s="413">
        <f t="shared" ca="1" si="0"/>
        <v>0</v>
      </c>
      <c r="AY61" s="278">
        <f t="shared" ca="1" si="3"/>
        <v>0</v>
      </c>
      <c r="AZ61" s="287">
        <f t="shared" ca="1" si="4"/>
        <v>0</v>
      </c>
      <c r="BA61" s="287"/>
    </row>
    <row r="62" spans="19:53" s="245" customFormat="1" ht="15" x14ac:dyDescent="0.25">
      <c r="AS62" s="287" t="str">
        <f t="shared" ca="1" si="1"/>
        <v/>
      </c>
      <c r="AT62" s="324">
        <f t="shared" ca="1" si="5"/>
        <v>0</v>
      </c>
      <c r="AU62" s="324"/>
      <c r="AV62" s="324">
        <f t="shared" ca="1" si="2"/>
        <v>0</v>
      </c>
      <c r="AW62" s="324">
        <f t="shared" ca="1" si="6"/>
        <v>0</v>
      </c>
      <c r="AX62" s="413">
        <f t="shared" ca="1" si="0"/>
        <v>0</v>
      </c>
      <c r="AY62" s="278">
        <f t="shared" ca="1" si="3"/>
        <v>0</v>
      </c>
      <c r="AZ62" s="287">
        <f t="shared" ca="1" si="4"/>
        <v>0</v>
      </c>
      <c r="BA62" s="287"/>
    </row>
    <row r="63" spans="19:53" s="245" customFormat="1" ht="15" x14ac:dyDescent="0.25">
      <c r="AS63" s="287" t="str">
        <f t="shared" ca="1" si="1"/>
        <v/>
      </c>
      <c r="AT63" s="324">
        <f t="shared" ca="1" si="5"/>
        <v>0</v>
      </c>
      <c r="AU63" s="324"/>
      <c r="AV63" s="324">
        <f t="shared" ca="1" si="2"/>
        <v>0</v>
      </c>
      <c r="AW63" s="324">
        <f t="shared" ca="1" si="6"/>
        <v>0</v>
      </c>
      <c r="AX63" s="413">
        <f t="shared" ca="1" si="0"/>
        <v>0</v>
      </c>
      <c r="AY63" s="278">
        <f t="shared" ca="1" si="3"/>
        <v>0</v>
      </c>
      <c r="AZ63" s="287">
        <f t="shared" ca="1" si="4"/>
        <v>0</v>
      </c>
      <c r="BA63" s="287"/>
    </row>
    <row r="64" spans="19:53" s="245" customFormat="1" ht="15" x14ac:dyDescent="0.25">
      <c r="AS64" s="287" t="str">
        <f t="shared" ca="1" si="1"/>
        <v/>
      </c>
      <c r="AT64" s="324">
        <f t="shared" ca="1" si="5"/>
        <v>0</v>
      </c>
      <c r="AU64" s="324"/>
      <c r="AV64" s="324">
        <f t="shared" ca="1" si="2"/>
        <v>0</v>
      </c>
      <c r="AW64" s="324">
        <f t="shared" ca="1" si="6"/>
        <v>0</v>
      </c>
      <c r="AX64" s="413">
        <f t="shared" ca="1" si="0"/>
        <v>0</v>
      </c>
      <c r="AY64" s="278">
        <f t="shared" ca="1" si="3"/>
        <v>0</v>
      </c>
      <c r="AZ64" s="287">
        <f t="shared" ca="1" si="4"/>
        <v>0</v>
      </c>
      <c r="BA64" s="287"/>
    </row>
    <row r="65" spans="45:53" s="245" customFormat="1" ht="15" x14ac:dyDescent="0.25">
      <c r="AS65" s="287" t="str">
        <f t="shared" ca="1" si="1"/>
        <v/>
      </c>
      <c r="AT65" s="324">
        <f t="shared" ca="1" si="5"/>
        <v>0</v>
      </c>
      <c r="AU65" s="324"/>
      <c r="AV65" s="324">
        <f t="shared" ca="1" si="2"/>
        <v>0</v>
      </c>
      <c r="AW65" s="324">
        <f t="shared" ca="1" si="6"/>
        <v>0</v>
      </c>
      <c r="AX65" s="413">
        <f t="shared" ca="1" si="0"/>
        <v>0</v>
      </c>
      <c r="AY65" s="278">
        <f t="shared" ca="1" si="3"/>
        <v>0</v>
      </c>
      <c r="AZ65" s="287">
        <f t="shared" ca="1" si="4"/>
        <v>0</v>
      </c>
      <c r="BA65" s="287"/>
    </row>
    <row r="66" spans="45:53" s="245" customFormat="1" ht="15" x14ac:dyDescent="0.25">
      <c r="AS66" s="287" t="str">
        <f t="shared" ca="1" si="1"/>
        <v/>
      </c>
      <c r="AT66" s="324">
        <f t="shared" ca="1" si="5"/>
        <v>0</v>
      </c>
      <c r="AU66" s="324"/>
      <c r="AV66" s="324">
        <f t="shared" ca="1" si="2"/>
        <v>0</v>
      </c>
      <c r="AW66" s="324">
        <f t="shared" ca="1" si="6"/>
        <v>0</v>
      </c>
      <c r="AX66" s="413">
        <f t="shared" ca="1" si="0"/>
        <v>0</v>
      </c>
      <c r="AY66" s="278">
        <f t="shared" ca="1" si="3"/>
        <v>0</v>
      </c>
      <c r="AZ66" s="287">
        <f t="shared" ca="1" si="4"/>
        <v>0</v>
      </c>
      <c r="BA66" s="287"/>
    </row>
    <row r="67" spans="45:53" s="245" customFormat="1" ht="15" x14ac:dyDescent="0.25">
      <c r="AS67" s="287" t="str">
        <f t="shared" ca="1" si="1"/>
        <v/>
      </c>
      <c r="AT67" s="324">
        <f t="shared" ca="1" si="5"/>
        <v>0</v>
      </c>
      <c r="AU67" s="324"/>
      <c r="AV67" s="324">
        <f t="shared" ca="1" si="2"/>
        <v>0</v>
      </c>
      <c r="AW67" s="324">
        <f t="shared" ca="1" si="6"/>
        <v>0</v>
      </c>
      <c r="AX67" s="413">
        <f t="shared" ca="1" si="0"/>
        <v>0</v>
      </c>
      <c r="AY67" s="278">
        <f t="shared" ca="1" si="3"/>
        <v>0</v>
      </c>
      <c r="AZ67" s="287">
        <f t="shared" ca="1" si="4"/>
        <v>0</v>
      </c>
      <c r="BA67" s="287"/>
    </row>
    <row r="68" spans="45:53" s="245" customFormat="1" ht="15" x14ac:dyDescent="0.25">
      <c r="AS68" s="287" t="str">
        <f t="shared" ca="1" si="1"/>
        <v/>
      </c>
      <c r="AT68" s="324">
        <f t="shared" ca="1" si="5"/>
        <v>0</v>
      </c>
      <c r="AU68" s="324"/>
      <c r="AV68" s="324">
        <f t="shared" ca="1" si="2"/>
        <v>0</v>
      </c>
      <c r="AW68" s="324">
        <f t="shared" ca="1" si="6"/>
        <v>0</v>
      </c>
      <c r="AX68" s="413">
        <f t="shared" ref="AX68:AX110" ca="1" si="8">IF(ISNUMBER(AS69),AU68+AV68,AU68+AV68+AW68*$D$16)</f>
        <v>0</v>
      </c>
      <c r="AY68" s="278">
        <f t="shared" ca="1" si="3"/>
        <v>0</v>
      </c>
      <c r="AZ68" s="287">
        <f t="shared" ca="1" si="4"/>
        <v>0</v>
      </c>
      <c r="BA68" s="287"/>
    </row>
    <row r="69" spans="45:53" s="245" customFormat="1" ht="15" x14ac:dyDescent="0.25">
      <c r="AS69" s="287" t="str">
        <f t="shared" ref="AS69:AS111" ca="1" si="9">IF(AS68&lt;$D$14,AS68+1,"")</f>
        <v/>
      </c>
      <c r="AT69" s="324">
        <f t="shared" ca="1" si="5"/>
        <v>0</v>
      </c>
      <c r="AU69" s="324"/>
      <c r="AV69" s="324">
        <f t="shared" ref="AV69:AV111" ca="1" si="10">$D$10*AT69</f>
        <v>0</v>
      </c>
      <c r="AW69" s="324">
        <f t="shared" ca="1" si="6"/>
        <v>0</v>
      </c>
      <c r="AX69" s="413">
        <f t="shared" ca="1" si="8"/>
        <v>0</v>
      </c>
      <c r="AY69" s="278">
        <f t="shared" ref="AY69:AY111" ca="1" si="11">IF(ISNUMBER(AS69),LN(AX69+$J$39)-LN($J$39),0)</f>
        <v>0</v>
      </c>
      <c r="AZ69" s="287">
        <f t="shared" ref="AZ69:AZ111" ca="1" si="12">IF(ISNUMBER(AS69),AY69/(1+$D$7)^AS69,0)</f>
        <v>0</v>
      </c>
      <c r="BA69" s="287"/>
    </row>
    <row r="70" spans="45:53" s="245" customFormat="1" ht="15" x14ac:dyDescent="0.25">
      <c r="AS70" s="287" t="str">
        <f t="shared" ca="1" si="9"/>
        <v/>
      </c>
      <c r="AT70" s="324">
        <f t="shared" ref="AT70:AT111" ca="1" si="13">IF(ISNUMBER(AS70),AW69,0)</f>
        <v>0</v>
      </c>
      <c r="AU70" s="324"/>
      <c r="AV70" s="324">
        <f t="shared" ca="1" si="10"/>
        <v>0</v>
      </c>
      <c r="AW70" s="324">
        <f t="shared" ref="AW70:AW111" ca="1" si="14">AT70</f>
        <v>0</v>
      </c>
      <c r="AX70" s="413">
        <f t="shared" ca="1" si="8"/>
        <v>0</v>
      </c>
      <c r="AY70" s="278">
        <f t="shared" ca="1" si="11"/>
        <v>0</v>
      </c>
      <c r="AZ70" s="287">
        <f t="shared" ca="1" si="12"/>
        <v>0</v>
      </c>
      <c r="BA70" s="287"/>
    </row>
    <row r="71" spans="45:53" s="245" customFormat="1" ht="15" x14ac:dyDescent="0.25">
      <c r="AS71" s="287" t="str">
        <f t="shared" ca="1" si="9"/>
        <v/>
      </c>
      <c r="AT71" s="324">
        <f t="shared" ca="1" si="13"/>
        <v>0</v>
      </c>
      <c r="AU71" s="324"/>
      <c r="AV71" s="324">
        <f t="shared" ca="1" si="10"/>
        <v>0</v>
      </c>
      <c r="AW71" s="324">
        <f t="shared" ca="1" si="14"/>
        <v>0</v>
      </c>
      <c r="AX71" s="413">
        <f t="shared" ca="1" si="8"/>
        <v>0</v>
      </c>
      <c r="AY71" s="278">
        <f t="shared" ca="1" si="11"/>
        <v>0</v>
      </c>
      <c r="AZ71" s="287">
        <f t="shared" ca="1" si="12"/>
        <v>0</v>
      </c>
      <c r="BA71" s="287"/>
    </row>
    <row r="72" spans="45:53" s="245" customFormat="1" ht="15" x14ac:dyDescent="0.25">
      <c r="AS72" s="287" t="str">
        <f t="shared" ca="1" si="9"/>
        <v/>
      </c>
      <c r="AT72" s="324">
        <f t="shared" ca="1" si="13"/>
        <v>0</v>
      </c>
      <c r="AU72" s="324"/>
      <c r="AV72" s="324">
        <f t="shared" ca="1" si="10"/>
        <v>0</v>
      </c>
      <c r="AW72" s="324">
        <f t="shared" ca="1" si="14"/>
        <v>0</v>
      </c>
      <c r="AX72" s="413">
        <f t="shared" ca="1" si="8"/>
        <v>0</v>
      </c>
      <c r="AY72" s="278">
        <f t="shared" ca="1" si="11"/>
        <v>0</v>
      </c>
      <c r="AZ72" s="287">
        <f t="shared" ca="1" si="12"/>
        <v>0</v>
      </c>
      <c r="BA72" s="287"/>
    </row>
    <row r="73" spans="45:53" s="245" customFormat="1" ht="15" x14ac:dyDescent="0.25">
      <c r="AS73" s="287" t="str">
        <f t="shared" ca="1" si="9"/>
        <v/>
      </c>
      <c r="AT73" s="324">
        <f t="shared" ca="1" si="13"/>
        <v>0</v>
      </c>
      <c r="AU73" s="324"/>
      <c r="AV73" s="324">
        <f t="shared" ca="1" si="10"/>
        <v>0</v>
      </c>
      <c r="AW73" s="324">
        <f t="shared" ca="1" si="14"/>
        <v>0</v>
      </c>
      <c r="AX73" s="413">
        <f t="shared" ca="1" si="8"/>
        <v>0</v>
      </c>
      <c r="AY73" s="278">
        <f t="shared" ca="1" si="11"/>
        <v>0</v>
      </c>
      <c r="AZ73" s="287">
        <f t="shared" ca="1" si="12"/>
        <v>0</v>
      </c>
      <c r="BA73" s="287"/>
    </row>
    <row r="74" spans="45:53" s="245" customFormat="1" ht="15" x14ac:dyDescent="0.25">
      <c r="AS74" s="287" t="str">
        <f t="shared" ca="1" si="9"/>
        <v/>
      </c>
      <c r="AT74" s="324">
        <f t="shared" ca="1" si="13"/>
        <v>0</v>
      </c>
      <c r="AU74" s="324"/>
      <c r="AV74" s="324">
        <f t="shared" ca="1" si="10"/>
        <v>0</v>
      </c>
      <c r="AW74" s="324">
        <f t="shared" ca="1" si="14"/>
        <v>0</v>
      </c>
      <c r="AX74" s="413">
        <f t="shared" ca="1" si="8"/>
        <v>0</v>
      </c>
      <c r="AY74" s="278">
        <f t="shared" ca="1" si="11"/>
        <v>0</v>
      </c>
      <c r="AZ74" s="287">
        <f t="shared" ca="1" si="12"/>
        <v>0</v>
      </c>
      <c r="BA74" s="287"/>
    </row>
    <row r="75" spans="45:53" s="245" customFormat="1" ht="15" x14ac:dyDescent="0.25">
      <c r="AS75" s="287" t="str">
        <f t="shared" ca="1" si="9"/>
        <v/>
      </c>
      <c r="AT75" s="324">
        <f t="shared" ca="1" si="13"/>
        <v>0</v>
      </c>
      <c r="AU75" s="324"/>
      <c r="AV75" s="324">
        <f t="shared" ca="1" si="10"/>
        <v>0</v>
      </c>
      <c r="AW75" s="324">
        <f t="shared" ca="1" si="14"/>
        <v>0</v>
      </c>
      <c r="AX75" s="413">
        <f t="shared" ca="1" si="8"/>
        <v>0</v>
      </c>
      <c r="AY75" s="278">
        <f t="shared" ca="1" si="11"/>
        <v>0</v>
      </c>
      <c r="AZ75" s="287">
        <f t="shared" ca="1" si="12"/>
        <v>0</v>
      </c>
      <c r="BA75" s="287"/>
    </row>
    <row r="76" spans="45:53" s="245" customFormat="1" ht="15" x14ac:dyDescent="0.25">
      <c r="AS76" s="287" t="str">
        <f t="shared" ca="1" si="9"/>
        <v/>
      </c>
      <c r="AT76" s="324">
        <f t="shared" ca="1" si="13"/>
        <v>0</v>
      </c>
      <c r="AU76" s="324"/>
      <c r="AV76" s="324">
        <f t="shared" ca="1" si="10"/>
        <v>0</v>
      </c>
      <c r="AW76" s="324">
        <f t="shared" ca="1" si="14"/>
        <v>0</v>
      </c>
      <c r="AX76" s="413">
        <f t="shared" ca="1" si="8"/>
        <v>0</v>
      </c>
      <c r="AY76" s="278">
        <f t="shared" ca="1" si="11"/>
        <v>0</v>
      </c>
      <c r="AZ76" s="287">
        <f t="shared" ca="1" si="12"/>
        <v>0</v>
      </c>
      <c r="BA76" s="287"/>
    </row>
    <row r="77" spans="45:53" s="245" customFormat="1" ht="15" x14ac:dyDescent="0.25">
      <c r="AS77" s="287" t="str">
        <f t="shared" ca="1" si="9"/>
        <v/>
      </c>
      <c r="AT77" s="324">
        <f t="shared" ca="1" si="13"/>
        <v>0</v>
      </c>
      <c r="AU77" s="324"/>
      <c r="AV77" s="324">
        <f t="shared" ca="1" si="10"/>
        <v>0</v>
      </c>
      <c r="AW77" s="324">
        <f t="shared" ca="1" si="14"/>
        <v>0</v>
      </c>
      <c r="AX77" s="413">
        <f t="shared" ca="1" si="8"/>
        <v>0</v>
      </c>
      <c r="AY77" s="278">
        <f t="shared" ca="1" si="11"/>
        <v>0</v>
      </c>
      <c r="AZ77" s="287">
        <f t="shared" ca="1" si="12"/>
        <v>0</v>
      </c>
      <c r="BA77" s="287"/>
    </row>
    <row r="78" spans="45:53" s="245" customFormat="1" ht="15" x14ac:dyDescent="0.25">
      <c r="AS78" s="287" t="str">
        <f t="shared" ca="1" si="9"/>
        <v/>
      </c>
      <c r="AT78" s="324">
        <f t="shared" ca="1" si="13"/>
        <v>0</v>
      </c>
      <c r="AU78" s="324"/>
      <c r="AV78" s="324">
        <f t="shared" ca="1" si="10"/>
        <v>0</v>
      </c>
      <c r="AW78" s="324">
        <f t="shared" ca="1" si="14"/>
        <v>0</v>
      </c>
      <c r="AX78" s="413">
        <f t="shared" ca="1" si="8"/>
        <v>0</v>
      </c>
      <c r="AY78" s="278">
        <f t="shared" ca="1" si="11"/>
        <v>0</v>
      </c>
      <c r="AZ78" s="287">
        <f t="shared" ca="1" si="12"/>
        <v>0</v>
      </c>
      <c r="BA78" s="287"/>
    </row>
    <row r="79" spans="45:53" s="245" customFormat="1" ht="15" x14ac:dyDescent="0.25">
      <c r="AS79" s="287" t="str">
        <f t="shared" ca="1" si="9"/>
        <v/>
      </c>
      <c r="AT79" s="324">
        <f t="shared" ca="1" si="13"/>
        <v>0</v>
      </c>
      <c r="AU79" s="324"/>
      <c r="AV79" s="324">
        <f t="shared" ca="1" si="10"/>
        <v>0</v>
      </c>
      <c r="AW79" s="324">
        <f t="shared" ca="1" si="14"/>
        <v>0</v>
      </c>
      <c r="AX79" s="413">
        <f t="shared" ca="1" si="8"/>
        <v>0</v>
      </c>
      <c r="AY79" s="278">
        <f t="shared" ca="1" si="11"/>
        <v>0</v>
      </c>
      <c r="AZ79" s="287">
        <f t="shared" ca="1" si="12"/>
        <v>0</v>
      </c>
      <c r="BA79" s="287"/>
    </row>
    <row r="80" spans="45:53" s="245" customFormat="1" ht="15" x14ac:dyDescent="0.25">
      <c r="AS80" s="287" t="str">
        <f t="shared" ca="1" si="9"/>
        <v/>
      </c>
      <c r="AT80" s="324">
        <f t="shared" ca="1" si="13"/>
        <v>0</v>
      </c>
      <c r="AU80" s="324"/>
      <c r="AV80" s="324">
        <f t="shared" ca="1" si="10"/>
        <v>0</v>
      </c>
      <c r="AW80" s="324">
        <f t="shared" ca="1" si="14"/>
        <v>0</v>
      </c>
      <c r="AX80" s="413">
        <f t="shared" ca="1" si="8"/>
        <v>0</v>
      </c>
      <c r="AY80" s="278">
        <f t="shared" ca="1" si="11"/>
        <v>0</v>
      </c>
      <c r="AZ80" s="287">
        <f t="shared" ca="1" si="12"/>
        <v>0</v>
      </c>
      <c r="BA80" s="287"/>
    </row>
    <row r="81" spans="45:53" s="245" customFormat="1" ht="15" x14ac:dyDescent="0.25">
      <c r="AS81" s="287" t="str">
        <f t="shared" ca="1" si="9"/>
        <v/>
      </c>
      <c r="AT81" s="324">
        <f t="shared" ca="1" si="13"/>
        <v>0</v>
      </c>
      <c r="AU81" s="324"/>
      <c r="AV81" s="324">
        <f t="shared" ca="1" si="10"/>
        <v>0</v>
      </c>
      <c r="AW81" s="324">
        <f t="shared" ca="1" si="14"/>
        <v>0</v>
      </c>
      <c r="AX81" s="413">
        <f t="shared" ca="1" si="8"/>
        <v>0</v>
      </c>
      <c r="AY81" s="278">
        <f t="shared" ca="1" si="11"/>
        <v>0</v>
      </c>
      <c r="AZ81" s="287">
        <f t="shared" ca="1" si="12"/>
        <v>0</v>
      </c>
      <c r="BA81" s="287"/>
    </row>
    <row r="82" spans="45:53" s="245" customFormat="1" ht="15" x14ac:dyDescent="0.25">
      <c r="AS82" s="287" t="str">
        <f t="shared" ca="1" si="9"/>
        <v/>
      </c>
      <c r="AT82" s="324">
        <f t="shared" ca="1" si="13"/>
        <v>0</v>
      </c>
      <c r="AU82" s="324"/>
      <c r="AV82" s="324">
        <f t="shared" ca="1" si="10"/>
        <v>0</v>
      </c>
      <c r="AW82" s="324">
        <f t="shared" ca="1" si="14"/>
        <v>0</v>
      </c>
      <c r="AX82" s="413">
        <f t="shared" ca="1" si="8"/>
        <v>0</v>
      </c>
      <c r="AY82" s="278">
        <f t="shared" ca="1" si="11"/>
        <v>0</v>
      </c>
      <c r="AZ82" s="287">
        <f t="shared" ca="1" si="12"/>
        <v>0</v>
      </c>
      <c r="BA82" s="287"/>
    </row>
    <row r="83" spans="45:53" s="245" customFormat="1" ht="15" x14ac:dyDescent="0.25">
      <c r="AS83" s="287" t="str">
        <f t="shared" ca="1" si="9"/>
        <v/>
      </c>
      <c r="AT83" s="324">
        <f t="shared" ca="1" si="13"/>
        <v>0</v>
      </c>
      <c r="AU83" s="324"/>
      <c r="AV83" s="324">
        <f t="shared" ca="1" si="10"/>
        <v>0</v>
      </c>
      <c r="AW83" s="324">
        <f t="shared" ca="1" si="14"/>
        <v>0</v>
      </c>
      <c r="AX83" s="413">
        <f t="shared" ca="1" si="8"/>
        <v>0</v>
      </c>
      <c r="AY83" s="278">
        <f t="shared" ca="1" si="11"/>
        <v>0</v>
      </c>
      <c r="AZ83" s="287">
        <f t="shared" ca="1" si="12"/>
        <v>0</v>
      </c>
      <c r="BA83" s="287"/>
    </row>
    <row r="84" spans="45:53" s="245" customFormat="1" ht="15" x14ac:dyDescent="0.25">
      <c r="AS84" s="287" t="str">
        <f t="shared" ca="1" si="9"/>
        <v/>
      </c>
      <c r="AT84" s="324">
        <f t="shared" ca="1" si="13"/>
        <v>0</v>
      </c>
      <c r="AU84" s="324"/>
      <c r="AV84" s="324">
        <f t="shared" ca="1" si="10"/>
        <v>0</v>
      </c>
      <c r="AW84" s="324">
        <f t="shared" ca="1" si="14"/>
        <v>0</v>
      </c>
      <c r="AX84" s="413">
        <f t="shared" ca="1" si="8"/>
        <v>0</v>
      </c>
      <c r="AY84" s="278">
        <f t="shared" ca="1" si="11"/>
        <v>0</v>
      </c>
      <c r="AZ84" s="287">
        <f t="shared" ca="1" si="12"/>
        <v>0</v>
      </c>
      <c r="BA84" s="287"/>
    </row>
    <row r="85" spans="45:53" s="245" customFormat="1" ht="15" x14ac:dyDescent="0.25">
      <c r="AS85" s="287" t="str">
        <f t="shared" ca="1" si="9"/>
        <v/>
      </c>
      <c r="AT85" s="324">
        <f t="shared" ca="1" si="13"/>
        <v>0</v>
      </c>
      <c r="AU85" s="324"/>
      <c r="AV85" s="324">
        <f t="shared" ca="1" si="10"/>
        <v>0</v>
      </c>
      <c r="AW85" s="324">
        <f t="shared" ca="1" si="14"/>
        <v>0</v>
      </c>
      <c r="AX85" s="413">
        <f t="shared" ca="1" si="8"/>
        <v>0</v>
      </c>
      <c r="AY85" s="278">
        <f t="shared" ca="1" si="11"/>
        <v>0</v>
      </c>
      <c r="AZ85" s="287">
        <f t="shared" ca="1" si="12"/>
        <v>0</v>
      </c>
      <c r="BA85" s="287"/>
    </row>
    <row r="86" spans="45:53" s="245" customFormat="1" ht="15" x14ac:dyDescent="0.25">
      <c r="AS86" s="287" t="str">
        <f t="shared" ca="1" si="9"/>
        <v/>
      </c>
      <c r="AT86" s="324">
        <f t="shared" ca="1" si="13"/>
        <v>0</v>
      </c>
      <c r="AU86" s="324"/>
      <c r="AV86" s="324">
        <f t="shared" ca="1" si="10"/>
        <v>0</v>
      </c>
      <c r="AW86" s="324">
        <f t="shared" ca="1" si="14"/>
        <v>0</v>
      </c>
      <c r="AX86" s="413">
        <f t="shared" ca="1" si="8"/>
        <v>0</v>
      </c>
      <c r="AY86" s="278">
        <f t="shared" ca="1" si="11"/>
        <v>0</v>
      </c>
      <c r="AZ86" s="287">
        <f t="shared" ca="1" si="12"/>
        <v>0</v>
      </c>
      <c r="BA86" s="287"/>
    </row>
    <row r="87" spans="45:53" s="245" customFormat="1" ht="15" x14ac:dyDescent="0.25">
      <c r="AS87" s="287" t="str">
        <f t="shared" ca="1" si="9"/>
        <v/>
      </c>
      <c r="AT87" s="324">
        <f t="shared" ca="1" si="13"/>
        <v>0</v>
      </c>
      <c r="AU87" s="324"/>
      <c r="AV87" s="324">
        <f t="shared" ca="1" si="10"/>
        <v>0</v>
      </c>
      <c r="AW87" s="324">
        <f t="shared" ca="1" si="14"/>
        <v>0</v>
      </c>
      <c r="AX87" s="413">
        <f t="shared" ca="1" si="8"/>
        <v>0</v>
      </c>
      <c r="AY87" s="278">
        <f t="shared" ca="1" si="11"/>
        <v>0</v>
      </c>
      <c r="AZ87" s="287">
        <f t="shared" ca="1" si="12"/>
        <v>0</v>
      </c>
      <c r="BA87" s="287"/>
    </row>
    <row r="88" spans="45:53" s="245" customFormat="1" ht="15" x14ac:dyDescent="0.25">
      <c r="AS88" s="287" t="str">
        <f t="shared" ca="1" si="9"/>
        <v/>
      </c>
      <c r="AT88" s="324">
        <f t="shared" ca="1" si="13"/>
        <v>0</v>
      </c>
      <c r="AU88" s="324"/>
      <c r="AV88" s="324">
        <f t="shared" ca="1" si="10"/>
        <v>0</v>
      </c>
      <c r="AW88" s="324">
        <f t="shared" ca="1" si="14"/>
        <v>0</v>
      </c>
      <c r="AX88" s="413">
        <f t="shared" ca="1" si="8"/>
        <v>0</v>
      </c>
      <c r="AY88" s="278">
        <f t="shared" ca="1" si="11"/>
        <v>0</v>
      </c>
      <c r="AZ88" s="287">
        <f t="shared" ca="1" si="12"/>
        <v>0</v>
      </c>
      <c r="BA88" s="287"/>
    </row>
    <row r="89" spans="45:53" s="245" customFormat="1" ht="15" x14ac:dyDescent="0.25">
      <c r="AS89" s="287" t="str">
        <f t="shared" ca="1" si="9"/>
        <v/>
      </c>
      <c r="AT89" s="324">
        <f t="shared" ca="1" si="13"/>
        <v>0</v>
      </c>
      <c r="AU89" s="324"/>
      <c r="AV89" s="324">
        <f t="shared" ca="1" si="10"/>
        <v>0</v>
      </c>
      <c r="AW89" s="324">
        <f t="shared" ca="1" si="14"/>
        <v>0</v>
      </c>
      <c r="AX89" s="413">
        <f t="shared" ca="1" si="8"/>
        <v>0</v>
      </c>
      <c r="AY89" s="278">
        <f t="shared" ca="1" si="11"/>
        <v>0</v>
      </c>
      <c r="AZ89" s="287">
        <f t="shared" ca="1" si="12"/>
        <v>0</v>
      </c>
      <c r="BA89" s="287"/>
    </row>
    <row r="90" spans="45:53" s="245" customFormat="1" ht="15" x14ac:dyDescent="0.25">
      <c r="AS90" s="287" t="str">
        <f t="shared" ca="1" si="9"/>
        <v/>
      </c>
      <c r="AT90" s="324">
        <f t="shared" ca="1" si="13"/>
        <v>0</v>
      </c>
      <c r="AU90" s="324"/>
      <c r="AV90" s="324">
        <f t="shared" ca="1" si="10"/>
        <v>0</v>
      </c>
      <c r="AW90" s="324">
        <f t="shared" ca="1" si="14"/>
        <v>0</v>
      </c>
      <c r="AX90" s="413">
        <f t="shared" ca="1" si="8"/>
        <v>0</v>
      </c>
      <c r="AY90" s="278">
        <f t="shared" ca="1" si="11"/>
        <v>0</v>
      </c>
      <c r="AZ90" s="287">
        <f t="shared" ca="1" si="12"/>
        <v>0</v>
      </c>
      <c r="BA90" s="287"/>
    </row>
    <row r="91" spans="45:53" s="245" customFormat="1" ht="15" x14ac:dyDescent="0.25">
      <c r="AS91" s="287" t="str">
        <f t="shared" ca="1" si="9"/>
        <v/>
      </c>
      <c r="AT91" s="324">
        <f t="shared" ca="1" si="13"/>
        <v>0</v>
      </c>
      <c r="AU91" s="324"/>
      <c r="AV91" s="324">
        <f t="shared" ca="1" si="10"/>
        <v>0</v>
      </c>
      <c r="AW91" s="324">
        <f t="shared" ca="1" si="14"/>
        <v>0</v>
      </c>
      <c r="AX91" s="413">
        <f t="shared" ca="1" si="8"/>
        <v>0</v>
      </c>
      <c r="AY91" s="278">
        <f t="shared" ca="1" si="11"/>
        <v>0</v>
      </c>
      <c r="AZ91" s="287">
        <f t="shared" ca="1" si="12"/>
        <v>0</v>
      </c>
      <c r="BA91" s="287"/>
    </row>
    <row r="92" spans="45:53" s="245" customFormat="1" ht="15" x14ac:dyDescent="0.25">
      <c r="AS92" s="287" t="str">
        <f t="shared" ca="1" si="9"/>
        <v/>
      </c>
      <c r="AT92" s="324">
        <f t="shared" ca="1" si="13"/>
        <v>0</v>
      </c>
      <c r="AU92" s="324"/>
      <c r="AV92" s="324">
        <f t="shared" ca="1" si="10"/>
        <v>0</v>
      </c>
      <c r="AW92" s="324">
        <f t="shared" ca="1" si="14"/>
        <v>0</v>
      </c>
      <c r="AX92" s="413">
        <f t="shared" ca="1" si="8"/>
        <v>0</v>
      </c>
      <c r="AY92" s="278">
        <f t="shared" ca="1" si="11"/>
        <v>0</v>
      </c>
      <c r="AZ92" s="287">
        <f t="shared" ca="1" si="12"/>
        <v>0</v>
      </c>
      <c r="BA92" s="287"/>
    </row>
    <row r="93" spans="45:53" s="245" customFormat="1" ht="15" x14ac:dyDescent="0.25">
      <c r="AS93" s="287" t="str">
        <f t="shared" ca="1" si="9"/>
        <v/>
      </c>
      <c r="AT93" s="324">
        <f t="shared" ca="1" si="13"/>
        <v>0</v>
      </c>
      <c r="AU93" s="324"/>
      <c r="AV93" s="324">
        <f t="shared" ca="1" si="10"/>
        <v>0</v>
      </c>
      <c r="AW93" s="324">
        <f t="shared" ca="1" si="14"/>
        <v>0</v>
      </c>
      <c r="AX93" s="413">
        <f t="shared" ca="1" si="8"/>
        <v>0</v>
      </c>
      <c r="AY93" s="278">
        <f t="shared" ca="1" si="11"/>
        <v>0</v>
      </c>
      <c r="AZ93" s="287">
        <f t="shared" ca="1" si="12"/>
        <v>0</v>
      </c>
      <c r="BA93" s="287"/>
    </row>
    <row r="94" spans="45:53" s="245" customFormat="1" ht="15" x14ac:dyDescent="0.25">
      <c r="AS94" s="287" t="str">
        <f t="shared" ca="1" si="9"/>
        <v/>
      </c>
      <c r="AT94" s="324">
        <f t="shared" ca="1" si="13"/>
        <v>0</v>
      </c>
      <c r="AU94" s="324"/>
      <c r="AV94" s="324">
        <f t="shared" ca="1" si="10"/>
        <v>0</v>
      </c>
      <c r="AW94" s="324">
        <f t="shared" ca="1" si="14"/>
        <v>0</v>
      </c>
      <c r="AX94" s="413">
        <f t="shared" ca="1" si="8"/>
        <v>0</v>
      </c>
      <c r="AY94" s="278">
        <f t="shared" ca="1" si="11"/>
        <v>0</v>
      </c>
      <c r="AZ94" s="287">
        <f t="shared" ca="1" si="12"/>
        <v>0</v>
      </c>
      <c r="BA94" s="287"/>
    </row>
    <row r="95" spans="45:53" s="245" customFormat="1" ht="15" x14ac:dyDescent="0.25">
      <c r="AS95" s="287" t="str">
        <f t="shared" ca="1" si="9"/>
        <v/>
      </c>
      <c r="AT95" s="324">
        <f t="shared" ca="1" si="13"/>
        <v>0</v>
      </c>
      <c r="AU95" s="324"/>
      <c r="AV95" s="324">
        <f t="shared" ca="1" si="10"/>
        <v>0</v>
      </c>
      <c r="AW95" s="324">
        <f t="shared" ca="1" si="14"/>
        <v>0</v>
      </c>
      <c r="AX95" s="413">
        <f t="shared" ca="1" si="8"/>
        <v>0</v>
      </c>
      <c r="AY95" s="278">
        <f t="shared" ca="1" si="11"/>
        <v>0</v>
      </c>
      <c r="AZ95" s="287">
        <f t="shared" ca="1" si="12"/>
        <v>0</v>
      </c>
      <c r="BA95" s="287"/>
    </row>
    <row r="96" spans="45:53" s="245" customFormat="1" ht="15" x14ac:dyDescent="0.25">
      <c r="AS96" s="287" t="str">
        <f t="shared" ca="1" si="9"/>
        <v/>
      </c>
      <c r="AT96" s="324">
        <f t="shared" ca="1" si="13"/>
        <v>0</v>
      </c>
      <c r="AU96" s="324"/>
      <c r="AV96" s="324">
        <f t="shared" ca="1" si="10"/>
        <v>0</v>
      </c>
      <c r="AW96" s="324">
        <f t="shared" ca="1" si="14"/>
        <v>0</v>
      </c>
      <c r="AX96" s="413">
        <f t="shared" ca="1" si="8"/>
        <v>0</v>
      </c>
      <c r="AY96" s="278">
        <f t="shared" ca="1" si="11"/>
        <v>0</v>
      </c>
      <c r="AZ96" s="287">
        <f t="shared" ca="1" si="12"/>
        <v>0</v>
      </c>
      <c r="BA96" s="287"/>
    </row>
    <row r="97" spans="45:53" s="245" customFormat="1" ht="15" x14ac:dyDescent="0.25">
      <c r="AS97" s="287" t="str">
        <f t="shared" ca="1" si="9"/>
        <v/>
      </c>
      <c r="AT97" s="324">
        <f t="shared" ca="1" si="13"/>
        <v>0</v>
      </c>
      <c r="AU97" s="324"/>
      <c r="AV97" s="324">
        <f t="shared" ca="1" si="10"/>
        <v>0</v>
      </c>
      <c r="AW97" s="324">
        <f t="shared" ca="1" si="14"/>
        <v>0</v>
      </c>
      <c r="AX97" s="413">
        <f t="shared" ca="1" si="8"/>
        <v>0</v>
      </c>
      <c r="AY97" s="278">
        <f t="shared" ca="1" si="11"/>
        <v>0</v>
      </c>
      <c r="AZ97" s="287">
        <f t="shared" ca="1" si="12"/>
        <v>0</v>
      </c>
      <c r="BA97" s="287"/>
    </row>
    <row r="98" spans="45:53" s="245" customFormat="1" ht="15" x14ac:dyDescent="0.25">
      <c r="AS98" s="287" t="str">
        <f t="shared" ca="1" si="9"/>
        <v/>
      </c>
      <c r="AT98" s="324">
        <f t="shared" ca="1" si="13"/>
        <v>0</v>
      </c>
      <c r="AU98" s="324"/>
      <c r="AV98" s="324">
        <f t="shared" ca="1" si="10"/>
        <v>0</v>
      </c>
      <c r="AW98" s="324">
        <f t="shared" ca="1" si="14"/>
        <v>0</v>
      </c>
      <c r="AX98" s="413">
        <f t="shared" ca="1" si="8"/>
        <v>0</v>
      </c>
      <c r="AY98" s="278">
        <f t="shared" ca="1" si="11"/>
        <v>0</v>
      </c>
      <c r="AZ98" s="287">
        <f t="shared" ca="1" si="12"/>
        <v>0</v>
      </c>
      <c r="BA98" s="287"/>
    </row>
    <row r="99" spans="45:53" s="245" customFormat="1" ht="15" x14ac:dyDescent="0.25">
      <c r="AS99" s="287" t="str">
        <f t="shared" ca="1" si="9"/>
        <v/>
      </c>
      <c r="AT99" s="324">
        <f t="shared" ca="1" si="13"/>
        <v>0</v>
      </c>
      <c r="AU99" s="324"/>
      <c r="AV99" s="324">
        <f t="shared" ca="1" si="10"/>
        <v>0</v>
      </c>
      <c r="AW99" s="324">
        <f t="shared" ca="1" si="14"/>
        <v>0</v>
      </c>
      <c r="AX99" s="413">
        <f t="shared" ca="1" si="8"/>
        <v>0</v>
      </c>
      <c r="AY99" s="278">
        <f t="shared" ca="1" si="11"/>
        <v>0</v>
      </c>
      <c r="AZ99" s="287">
        <f t="shared" ca="1" si="12"/>
        <v>0</v>
      </c>
      <c r="BA99" s="287"/>
    </row>
    <row r="100" spans="45:53" s="245" customFormat="1" ht="15" x14ac:dyDescent="0.25">
      <c r="AS100" s="287" t="str">
        <f t="shared" ca="1" si="9"/>
        <v/>
      </c>
      <c r="AT100" s="324">
        <f t="shared" ca="1" si="13"/>
        <v>0</v>
      </c>
      <c r="AU100" s="324"/>
      <c r="AV100" s="324">
        <f t="shared" ca="1" si="10"/>
        <v>0</v>
      </c>
      <c r="AW100" s="324">
        <f t="shared" ca="1" si="14"/>
        <v>0</v>
      </c>
      <c r="AX100" s="413">
        <f t="shared" ca="1" si="8"/>
        <v>0</v>
      </c>
      <c r="AY100" s="278">
        <f t="shared" ca="1" si="11"/>
        <v>0</v>
      </c>
      <c r="AZ100" s="287">
        <f t="shared" ca="1" si="12"/>
        <v>0</v>
      </c>
      <c r="BA100" s="287"/>
    </row>
    <row r="101" spans="45:53" s="245" customFormat="1" ht="15" x14ac:dyDescent="0.25">
      <c r="AS101" s="287" t="str">
        <f t="shared" ca="1" si="9"/>
        <v/>
      </c>
      <c r="AT101" s="324">
        <f t="shared" ca="1" si="13"/>
        <v>0</v>
      </c>
      <c r="AU101" s="324"/>
      <c r="AV101" s="324">
        <f t="shared" ca="1" si="10"/>
        <v>0</v>
      </c>
      <c r="AW101" s="324">
        <f t="shared" ca="1" si="14"/>
        <v>0</v>
      </c>
      <c r="AX101" s="413">
        <f t="shared" ca="1" si="8"/>
        <v>0</v>
      </c>
      <c r="AY101" s="278">
        <f t="shared" ca="1" si="11"/>
        <v>0</v>
      </c>
      <c r="AZ101" s="287">
        <f t="shared" ca="1" si="12"/>
        <v>0</v>
      </c>
      <c r="BA101" s="287"/>
    </row>
    <row r="102" spans="45:53" s="245" customFormat="1" ht="15" x14ac:dyDescent="0.25">
      <c r="AS102" s="287" t="str">
        <f t="shared" ca="1" si="9"/>
        <v/>
      </c>
      <c r="AT102" s="324">
        <f t="shared" ca="1" si="13"/>
        <v>0</v>
      </c>
      <c r="AU102" s="324"/>
      <c r="AV102" s="324">
        <f t="shared" ca="1" si="10"/>
        <v>0</v>
      </c>
      <c r="AW102" s="324">
        <f t="shared" ca="1" si="14"/>
        <v>0</v>
      </c>
      <c r="AX102" s="413">
        <f t="shared" ca="1" si="8"/>
        <v>0</v>
      </c>
      <c r="AY102" s="278">
        <f t="shared" ca="1" si="11"/>
        <v>0</v>
      </c>
      <c r="AZ102" s="287">
        <f t="shared" ca="1" si="12"/>
        <v>0</v>
      </c>
      <c r="BA102" s="287"/>
    </row>
    <row r="103" spans="45:53" s="245" customFormat="1" ht="15" x14ac:dyDescent="0.25">
      <c r="AS103" s="287" t="str">
        <f t="shared" ca="1" si="9"/>
        <v/>
      </c>
      <c r="AT103" s="324">
        <f t="shared" ca="1" si="13"/>
        <v>0</v>
      </c>
      <c r="AU103" s="324"/>
      <c r="AV103" s="324">
        <f t="shared" ca="1" si="10"/>
        <v>0</v>
      </c>
      <c r="AW103" s="324">
        <f t="shared" ca="1" si="14"/>
        <v>0</v>
      </c>
      <c r="AX103" s="413">
        <f t="shared" ca="1" si="8"/>
        <v>0</v>
      </c>
      <c r="AY103" s="278">
        <f ca="1">IF(ISNUMBER(AS103),LN(AX103+$J$39)-LN($J$39),0)</f>
        <v>0</v>
      </c>
      <c r="AZ103" s="287">
        <f t="shared" ca="1" si="12"/>
        <v>0</v>
      </c>
      <c r="BA103" s="287"/>
    </row>
    <row r="104" spans="45:53" s="245" customFormat="1" ht="15" x14ac:dyDescent="0.25">
      <c r="AS104" s="287" t="str">
        <f t="shared" ca="1" si="9"/>
        <v/>
      </c>
      <c r="AT104" s="324">
        <f t="shared" ca="1" si="13"/>
        <v>0</v>
      </c>
      <c r="AU104" s="324"/>
      <c r="AV104" s="324">
        <f t="shared" ca="1" si="10"/>
        <v>0</v>
      </c>
      <c r="AW104" s="324">
        <f t="shared" ca="1" si="14"/>
        <v>0</v>
      </c>
      <c r="AX104" s="413">
        <f t="shared" ca="1" si="8"/>
        <v>0</v>
      </c>
      <c r="AY104" s="278">
        <f t="shared" ca="1" si="11"/>
        <v>0</v>
      </c>
      <c r="AZ104" s="287">
        <f t="shared" ca="1" si="12"/>
        <v>0</v>
      </c>
      <c r="BA104" s="287"/>
    </row>
    <row r="105" spans="45:53" s="245" customFormat="1" ht="15" x14ac:dyDescent="0.25">
      <c r="AS105" s="287" t="str">
        <f t="shared" ca="1" si="9"/>
        <v/>
      </c>
      <c r="AT105" s="324">
        <f t="shared" ca="1" si="13"/>
        <v>0</v>
      </c>
      <c r="AU105" s="324"/>
      <c r="AV105" s="324">
        <f t="shared" ca="1" si="10"/>
        <v>0</v>
      </c>
      <c r="AW105" s="324">
        <f t="shared" ca="1" si="14"/>
        <v>0</v>
      </c>
      <c r="AX105" s="413">
        <f t="shared" ca="1" si="8"/>
        <v>0</v>
      </c>
      <c r="AY105" s="278">
        <f t="shared" ca="1" si="11"/>
        <v>0</v>
      </c>
      <c r="AZ105" s="287">
        <f t="shared" ca="1" si="12"/>
        <v>0</v>
      </c>
      <c r="BA105" s="287"/>
    </row>
    <row r="106" spans="45:53" s="245" customFormat="1" ht="15" x14ac:dyDescent="0.25">
      <c r="AS106" s="287" t="str">
        <f t="shared" ca="1" si="9"/>
        <v/>
      </c>
      <c r="AT106" s="324">
        <f t="shared" ca="1" si="13"/>
        <v>0</v>
      </c>
      <c r="AU106" s="324"/>
      <c r="AV106" s="324">
        <f t="shared" ca="1" si="10"/>
        <v>0</v>
      </c>
      <c r="AW106" s="324">
        <f t="shared" ca="1" si="14"/>
        <v>0</v>
      </c>
      <c r="AX106" s="413">
        <f t="shared" ca="1" si="8"/>
        <v>0</v>
      </c>
      <c r="AY106" s="278">
        <f t="shared" ca="1" si="11"/>
        <v>0</v>
      </c>
      <c r="AZ106" s="287">
        <f t="shared" ca="1" si="12"/>
        <v>0</v>
      </c>
      <c r="BA106" s="287"/>
    </row>
    <row r="107" spans="45:53" s="245" customFormat="1" ht="15" x14ac:dyDescent="0.25">
      <c r="AS107" s="287" t="str">
        <f t="shared" ca="1" si="9"/>
        <v/>
      </c>
      <c r="AT107" s="324">
        <f t="shared" ca="1" si="13"/>
        <v>0</v>
      </c>
      <c r="AU107" s="324"/>
      <c r="AV107" s="324">
        <f t="shared" ca="1" si="10"/>
        <v>0</v>
      </c>
      <c r="AW107" s="324">
        <f t="shared" ca="1" si="14"/>
        <v>0</v>
      </c>
      <c r="AX107" s="413">
        <f t="shared" ca="1" si="8"/>
        <v>0</v>
      </c>
      <c r="AY107" s="278">
        <f t="shared" ca="1" si="11"/>
        <v>0</v>
      </c>
      <c r="AZ107" s="287">
        <f t="shared" ca="1" si="12"/>
        <v>0</v>
      </c>
      <c r="BA107" s="287"/>
    </row>
    <row r="108" spans="45:53" s="245" customFormat="1" ht="15" x14ac:dyDescent="0.25">
      <c r="AS108" s="287" t="str">
        <f t="shared" ca="1" si="9"/>
        <v/>
      </c>
      <c r="AT108" s="324">
        <f t="shared" ca="1" si="13"/>
        <v>0</v>
      </c>
      <c r="AU108" s="324"/>
      <c r="AV108" s="324">
        <f t="shared" ca="1" si="10"/>
        <v>0</v>
      </c>
      <c r="AW108" s="324">
        <f t="shared" ca="1" si="14"/>
        <v>0</v>
      </c>
      <c r="AX108" s="413">
        <f t="shared" ca="1" si="8"/>
        <v>0</v>
      </c>
      <c r="AY108" s="278">
        <f t="shared" ca="1" si="11"/>
        <v>0</v>
      </c>
      <c r="AZ108" s="287">
        <f t="shared" ca="1" si="12"/>
        <v>0</v>
      </c>
      <c r="BA108" s="287"/>
    </row>
    <row r="109" spans="45:53" s="245" customFormat="1" ht="15" x14ac:dyDescent="0.25">
      <c r="AS109" s="287" t="str">
        <f t="shared" ca="1" si="9"/>
        <v/>
      </c>
      <c r="AT109" s="324">
        <f t="shared" ca="1" si="13"/>
        <v>0</v>
      </c>
      <c r="AU109" s="324"/>
      <c r="AV109" s="324">
        <f t="shared" ca="1" si="10"/>
        <v>0</v>
      </c>
      <c r="AW109" s="324">
        <f t="shared" ca="1" si="14"/>
        <v>0</v>
      </c>
      <c r="AX109" s="413">
        <f t="shared" ca="1" si="8"/>
        <v>0</v>
      </c>
      <c r="AY109" s="278">
        <f t="shared" ca="1" si="11"/>
        <v>0</v>
      </c>
      <c r="AZ109" s="287">
        <f t="shared" ca="1" si="12"/>
        <v>0</v>
      </c>
      <c r="BA109" s="287"/>
    </row>
    <row r="110" spans="45:53" s="245" customFormat="1" ht="15" x14ac:dyDescent="0.25">
      <c r="AS110" s="287" t="str">
        <f t="shared" ca="1" si="9"/>
        <v/>
      </c>
      <c r="AT110" s="324">
        <f t="shared" ca="1" si="13"/>
        <v>0</v>
      </c>
      <c r="AU110" s="324"/>
      <c r="AV110" s="324">
        <f t="shared" ca="1" si="10"/>
        <v>0</v>
      </c>
      <c r="AW110" s="324">
        <f t="shared" ca="1" si="14"/>
        <v>0</v>
      </c>
      <c r="AX110" s="413">
        <f t="shared" ca="1" si="8"/>
        <v>0</v>
      </c>
      <c r="AY110" s="278">
        <f t="shared" ca="1" si="11"/>
        <v>0</v>
      </c>
      <c r="AZ110" s="287">
        <f t="shared" ca="1" si="12"/>
        <v>0</v>
      </c>
      <c r="BA110" s="287"/>
    </row>
    <row r="111" spans="45:53" s="245" customFormat="1" ht="15" x14ac:dyDescent="0.25">
      <c r="AS111" s="287" t="str">
        <f t="shared" ca="1" si="9"/>
        <v/>
      </c>
      <c r="AT111" s="324">
        <f t="shared" ca="1" si="13"/>
        <v>0</v>
      </c>
      <c r="AU111" s="324"/>
      <c r="AV111" s="324">
        <f t="shared" ca="1" si="10"/>
        <v>0</v>
      </c>
      <c r="AW111" s="324">
        <f t="shared" ca="1" si="14"/>
        <v>0</v>
      </c>
      <c r="AX111" s="413">
        <f ca="1">IF(ISNUMBER(AS114),AU111+AV111,AU111+AV111+AW111*$D$16)</f>
        <v>0</v>
      </c>
      <c r="AY111" s="278">
        <f t="shared" ca="1" si="11"/>
        <v>0</v>
      </c>
      <c r="AZ111" s="287">
        <f t="shared" ca="1"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s="232" customFormat="1" ht="15" x14ac:dyDescent="0.25">
      <c r="BA121" s="231"/>
    </row>
  </sheetData>
  <mergeCells count="80">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 ref="O39:P39"/>
    <mergeCell ref="B25:E28"/>
    <mergeCell ref="J18:J19"/>
    <mergeCell ref="R18:R19"/>
    <mergeCell ref="S18:S19"/>
    <mergeCell ref="T18:U19"/>
    <mergeCell ref="T20:U20"/>
    <mergeCell ref="T21:U21"/>
    <mergeCell ref="F23:F26"/>
    <mergeCell ref="Q23:Q27"/>
    <mergeCell ref="R23:S24"/>
    <mergeCell ref="U23:W24"/>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6:D6"/>
    <mergeCell ref="I6:J6"/>
    <mergeCell ref="L6:M6"/>
    <mergeCell ref="T6:U6"/>
    <mergeCell ref="V6:W6"/>
    <mergeCell ref="B7:B11"/>
    <mergeCell ref="Q8:Q11"/>
    <mergeCell ref="T8:U8"/>
    <mergeCell ref="V8:W8"/>
    <mergeCell ref="C9:D9"/>
    <mergeCell ref="T9:U9"/>
    <mergeCell ref="V9:W9"/>
    <mergeCell ref="S2:T3"/>
    <mergeCell ref="Z2:AB3"/>
    <mergeCell ref="B4:D5"/>
    <mergeCell ref="F4:G5"/>
    <mergeCell ref="T4:U4"/>
    <mergeCell ref="V4:W4"/>
    <mergeCell ref="T5:U5"/>
    <mergeCell ref="V5:W5"/>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Parameters!$D$35:$H$35</xm:f>
          </x14:formula1>
          <xm:sqref>M7</xm:sqref>
        </x14:dataValidation>
        <x14:dataValidation type="list" allowBlank="1" showInputMessage="1">
          <x14:formula1>
            <xm:f>Parameters!$D$38:$H$38</xm:f>
          </x14:formula1>
          <xm:sqref>M10</xm:sqref>
        </x14:dataValidation>
        <x14:dataValidation type="list" allowBlank="1" showInputMessage="1">
          <x14:formula1>
            <xm:f>Parameters!$D$13:$H$13</xm:f>
          </x14:formula1>
          <xm:sqref>J15:J16</xm:sqref>
        </x14:dataValidation>
        <x14:dataValidation type="list" allowBlank="1" showInputMessage="1">
          <x14:formula1>
            <xm:f>Parameters!$D$6:$H$6</xm:f>
          </x14:formula1>
          <xm:sqref>G9</xm:sqref>
        </x14:dataValidation>
        <x14:dataValidation type="list" allowBlank="1" showInputMessage="1">
          <x14:formula1>
            <xm:f>Parameters!$D$55:$G$55</xm:f>
          </x14:formula1>
          <xm:sqref>D11</xm:sqref>
        </x14:dataValidation>
        <x14:dataValidation type="list" allowBlank="1" showInputMessage="1">
          <x14:formula1>
            <xm:f>Parameters!$D$58:$H$58</xm:f>
          </x14:formula1>
          <xm:sqref>D19:D20</xm:sqref>
        </x14:dataValidation>
        <x14:dataValidation type="list" allowBlank="1" showInputMessage="1">
          <x14:formula1>
            <xm:f>Parameters!$D$5:$G$5</xm:f>
          </x14:formula1>
          <xm:sqref>G7</xm:sqref>
        </x14:dataValidation>
        <x14:dataValidation type="list" allowBlank="1" showInputMessage="1">
          <x14:formula1>
            <xm:f>Parameters!$D$51:$H$51</xm:f>
          </x14:formula1>
          <xm:sqref>M19</xm:sqref>
        </x14:dataValidation>
        <x14:dataValidation type="list" allowBlank="1" showInputMessage="1">
          <x14:formula1>
            <xm:f>Parameters!$D$57:$H$57</xm:f>
          </x14:formula1>
          <xm:sqref>D16:D18</xm:sqref>
        </x14:dataValidation>
        <x14:dataValidation type="list" allowBlank="1" showInputMessage="1">
          <x14:formula1>
            <xm:f>Parameters!$D$23:$H$23</xm:f>
          </x14:formula1>
          <xm:sqref>J9</xm:sqref>
        </x14:dataValidation>
        <x14:dataValidation type="list" allowBlank="1" showInputMessage="1">
          <x14:formula1>
            <xm:f>Parameters!$D$29:$H$29</xm:f>
          </x14:formula1>
          <xm:sqref>G14</xm:sqref>
        </x14:dataValidation>
        <x14:dataValidation type="list" allowBlank="1" showInputMessage="1">
          <x14:formula1>
            <xm:f>Parameters!$D$50:$H$50</xm:f>
          </x14:formula1>
          <xm:sqref>M18</xm:sqref>
        </x14:dataValidation>
        <x14:dataValidation type="list" allowBlank="1" showInputMessage="1">
          <x14:formula1>
            <xm:f>Parameters!$D$49:$H$49</xm:f>
          </x14:formula1>
          <xm:sqref>M20</xm:sqref>
        </x14:dataValidation>
        <x14:dataValidation type="list" allowBlank="1" showInputMessage="1">
          <x14:formula1>
            <xm:f>Parameters!$D$32:$H$32</xm:f>
          </x14:formula1>
          <xm:sqref>G11</xm:sqref>
        </x14:dataValidation>
        <x14:dataValidation type="list" allowBlank="1" showInputMessage="1">
          <x14:formula1>
            <xm:f>Parameters!$D$54:$H$54</xm:f>
          </x14:formula1>
          <xm:sqref>D10</xm:sqref>
        </x14:dataValidation>
        <x14:dataValidation type="list" allowBlank="1" showInputMessage="1">
          <x14:formula1>
            <xm:f>Parameters!$D$56:$H$56</xm:f>
          </x14:formula1>
          <xm:sqref>D14</xm:sqref>
        </x14:dataValidation>
        <x14:dataValidation type="list" allowBlank="1" showInputMessage="1">
          <x14:formula1>
            <xm:f>Parameters!$D$9:$H$9</xm:f>
          </x14:formula1>
          <xm:sqref>G15:G16</xm:sqref>
        </x14:dataValidation>
        <x14:dataValidation type="list" allowBlank="1" showInputMessage="1">
          <x14:formula1>
            <xm:f>Parameters!$D$26:$H$26</xm:f>
          </x14:formula1>
          <xm:sqref>G17:G19</xm:sqref>
        </x14:dataValidation>
        <x14:dataValidation type="list" allowBlank="1" showInputMessage="1">
          <x14:formula1>
            <xm:f>Parameters!$D$20:$H$20</xm:f>
          </x14:formula1>
          <xm:sqref>J14</xm:sqref>
        </x14:dataValidation>
        <x14:dataValidation type="list" allowBlank="1" showInputMessage="1">
          <x14:formula1>
            <xm:f>Parameters!$D$22:$H$22</xm:f>
          </x14:formula1>
          <xm:sqref>J11</xm:sqref>
        </x14:dataValidation>
        <x14:dataValidation type="list" allowBlank="1" showInputMessage="1">
          <x14:formula1>
            <xm:f>Parameters!$D$42:$H$42</xm:f>
          </x14:formula1>
          <xm:sqref>M15</xm:sqref>
        </x14:dataValidation>
        <x14:dataValidation type="list" allowBlank="1" showInputMessage="1">
          <x14:formula1>
            <xm:f>Parameters!$D$41:$H$41</xm:f>
          </x14:formula1>
          <xm:sqref>M14</xm:sqref>
        </x14:dataValidation>
        <x14:dataValidation type="list" allowBlank="1" showInputMessage="1">
          <x14:formula1>
            <xm:f>Parameters!$D$40:$H$40</xm:f>
          </x14:formula1>
          <xm:sqref>M12</xm:sqref>
        </x14:dataValidation>
        <x14:dataValidation type="list" allowBlank="1" showInputMessage="1">
          <x14:formula1>
            <xm:f>Parameters!$D$39:$H$39</xm:f>
          </x14:formula1>
          <xm:sqref>M11</xm:sqref>
        </x14:dataValidation>
        <x14:dataValidation type="list" allowBlank="1" showInputMessage="1">
          <x14:formula1>
            <xm:f>Parameters!$D$37:$H$37</xm:f>
          </x14:formula1>
          <xm:sqref>M9</xm:sqref>
        </x14:dataValidation>
        <x14:dataValidation type="list" allowBlank="1" showInputMessage="1">
          <x14:formula1>
            <xm:f>Parameters!$D$36:$H$36</xm:f>
          </x14:formula1>
          <xm:sqref>M8</xm:sqref>
        </x14:dataValidation>
        <x14:dataValidation type="list" allowBlank="1" showInputMessage="1">
          <x14:formula1>
            <xm:f>Parameters!$D$14:$H$14</xm:f>
          </x14:formula1>
          <xm:sqref>J8</xm:sqref>
        </x14:dataValidation>
        <x14:dataValidation type="list" allowBlank="1" showInputMessage="1">
          <x14:formula1>
            <xm:f>Parameters!$E$14:$I$14</xm:f>
          </x14:formula1>
          <xm:sqref>K10</xm:sqref>
        </x14:dataValidation>
        <x14:dataValidation type="list" allowBlank="1" showInputMessage="1">
          <x14:formula1>
            <xm:f>Parameters!$D$21:$H$21</xm:f>
          </x14:formula1>
          <xm:sqref>J7</xm:sqref>
        </x14:dataValidation>
        <x14:dataValidation type="list" allowBlank="1" showInputMessage="1">
          <x14:formula1>
            <xm:f>Parameters!$E$21:$G$21</xm:f>
          </x14:formula1>
          <xm:sqref>K7</xm:sqref>
        </x14:dataValidation>
        <x14:dataValidation type="list" allowBlank="1" showInputMessage="1">
          <x14:formula1>
            <xm:f>Parameters!$D$16:$H$16</xm:f>
          </x14:formula1>
          <xm:sqref>J10</xm:sqref>
        </x14:dataValidation>
        <x14:dataValidation type="list" allowBlank="1" showInputMessage="1">
          <x14:formula1>
            <xm:f>Parameters!$D$19:$H$19</xm:f>
          </x14:formula1>
          <xm:sqref>J17:K17</xm:sqref>
        </x14:dataValidation>
        <x14:dataValidation type="list" allowBlank="1" showInputMessage="1">
          <x14:formula1>
            <xm:f>Parameters!$D$15:$H$15</xm:f>
          </x14:formula1>
          <xm:sqref>J20:K20</xm:sqref>
        </x14:dataValidation>
        <x14:dataValidation type="list" allowBlank="1" showInputMessage="1">
          <x14:formula1>
            <xm:f>Parameters!$D$4:$H$4</xm:f>
          </x14:formula1>
          <xm:sqref>D7</xm:sqref>
        </x14:dataValidation>
        <x14:dataValidation type="list" allowBlank="1" showInputMessage="1">
          <x14:formula1>
            <xm:f>Parameters!$D$31:$H$31</xm:f>
          </x14:formula1>
          <xm:sqref>G20</xm:sqref>
        </x14:dataValidation>
        <x14:dataValidation type="list" allowBlank="1" showInputMessage="1">
          <x14:formula1>
            <xm:f>Parameters!$D$7:$H$7</xm:f>
          </x14:formula1>
          <xm:sqref>G8</xm:sqref>
        </x14:dataValidation>
        <x14:dataValidation type="list" allowBlank="1" showInputMessage="1">
          <x14:formula1>
            <xm:f>Parameters!$D$8:$H$8</xm:f>
          </x14:formula1>
          <xm:sqref>G10</xm:sqref>
        </x14:dataValidation>
        <x14:dataValidation type="list" allowBlank="1" showInputMessage="1">
          <x14:formula1>
            <xm:f>Parameters!$D$12:$H$12</xm:f>
          </x14:formula1>
          <xm:sqref>J18:K19</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W4" zoomScale="145" zoomScaleNormal="145" zoomScalePageLayoutView="145" workbookViewId="0">
      <selection activeCell="J20" sqref="J20"/>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159.57446808510639</v>
      </c>
      <c r="AV4" s="277"/>
      <c r="AW4" s="231"/>
      <c r="AX4" s="413">
        <f t="shared" ref="AX4:AX67" si="0">IF(ISNUMBER(AS5),AU4+AV4,AU4+AV4+AW4*$D$16)</f>
        <v>159.57446808510639</v>
      </c>
      <c r="AY4" s="278">
        <f>IF(ISNUMBER(AS4),LN(AX4+$J$39)-LN($J$39),0)</f>
        <v>0.44346991161911653</v>
      </c>
      <c r="AZ4" s="231">
        <f>IF(ISNUMBER(AS4),AY4/(1+$D$7)^AS4,0)</f>
        <v>0.44346991161911653</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0.18206978838571686</v>
      </c>
      <c r="S5" s="616">
        <f>R5*(1-1/(1+D7)^G17)/(1-1/(1+D7))</f>
        <v>2.6943855798927796</v>
      </c>
      <c r="T5" s="798">
        <f>S5*G11*G7*G9*G20*G8/G39</f>
        <v>8.4612447954007491E-2</v>
      </c>
      <c r="U5" s="798"/>
      <c r="V5" s="799">
        <f>$G$15*$G$10</f>
        <v>7.0432719999999997E-3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53.191489361702111</v>
      </c>
      <c r="AU5" s="277"/>
      <c r="AV5" s="277">
        <f t="shared" ref="AV5:AV68" si="2">$D$10*AT5</f>
        <v>7.9787234042553159</v>
      </c>
      <c r="AW5" s="277">
        <f>AT5</f>
        <v>53.191489361702111</v>
      </c>
      <c r="AX5" s="413">
        <f t="shared" si="0"/>
        <v>7.9787234042553159</v>
      </c>
      <c r="AY5" s="278">
        <f t="shared" ref="AY5:AY68" si="3">IF(ISNUMBER(AS5),LN(AX5+$J$39)-LN($J$39),0)</f>
        <v>2.7522961112439681E-2</v>
      </c>
      <c r="AZ5" s="231">
        <f t="shared" ref="AZ5:AZ68" si="4">IF(ISNUMBER(AS5),AY5/(1+$D$7)^AS5,0)</f>
        <v>2.6212343916609218E-2</v>
      </c>
      <c r="BA5" s="231">
        <f>SUM(AZ5:AZ111)</f>
        <v>0.34299693063277165</v>
      </c>
      <c r="BB5" s="232">
        <f>SUM(AZ5:AZ23)</f>
        <v>0.33262381605197056</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1.9492973626426189E-2</v>
      </c>
      <c r="S6" s="616">
        <f>R6*(1-1/(1+D7)^G17)/(1-1/(1+D7))</f>
        <v>0.28846953420413401</v>
      </c>
      <c r="T6" s="798">
        <f>S6*M8*M9*M14*(V39/U39)*G11</f>
        <v>4.4560004336326262E-3</v>
      </c>
      <c r="U6" s="798"/>
      <c r="V6" s="799">
        <v>0</v>
      </c>
      <c r="W6" s="811"/>
      <c r="X6" s="237"/>
      <c r="Y6" s="245"/>
      <c r="Z6" s="357" t="s">
        <v>42</v>
      </c>
      <c r="AA6" s="358"/>
      <c r="AB6" s="359">
        <f>$G$7*$G$8*$G$9*G$20*$J7</f>
        <v>1.3528124999999998E-2</v>
      </c>
      <c r="AC6" s="246"/>
      <c r="AD6" s="628" t="s">
        <v>669</v>
      </c>
      <c r="AE6" s="611">
        <f>M19</f>
        <v>12</v>
      </c>
      <c r="AF6" s="245"/>
      <c r="AG6" s="245"/>
      <c r="AH6" s="245"/>
      <c r="AI6" s="245"/>
      <c r="AJ6" s="245"/>
      <c r="AK6" s="245"/>
      <c r="AL6" s="245"/>
      <c r="AM6" s="245"/>
      <c r="AN6" s="245"/>
      <c r="AO6" s="245"/>
      <c r="AP6" s="245"/>
      <c r="AQ6" s="245"/>
      <c r="AS6" s="231">
        <f t="shared" si="1"/>
        <v>2</v>
      </c>
      <c r="AT6" s="277">
        <f t="shared" ref="AT6:AT69" si="5">IF(ISNUMBER(AS6),AW5,0)</f>
        <v>53.191489361702111</v>
      </c>
      <c r="AU6" s="277"/>
      <c r="AV6" s="277">
        <f t="shared" si="2"/>
        <v>7.9787234042553159</v>
      </c>
      <c r="AW6" s="277">
        <f t="shared" ref="AW6:AW69" si="6">AT6</f>
        <v>53.191489361702111</v>
      </c>
      <c r="AX6" s="413">
        <f t="shared" si="0"/>
        <v>7.9787234042553159</v>
      </c>
      <c r="AY6" s="278">
        <f t="shared" si="3"/>
        <v>2.7522961112439681E-2</v>
      </c>
      <c r="AZ6" s="231">
        <f t="shared" si="4"/>
        <v>2.4964137063437353E-2</v>
      </c>
      <c r="BA6" s="231"/>
    </row>
    <row r="7" spans="1:54" ht="26.1" customHeight="1" x14ac:dyDescent="0.25">
      <c r="A7" s="245"/>
      <c r="B7" s="801" t="s">
        <v>45</v>
      </c>
      <c r="C7" s="299" t="s">
        <v>0</v>
      </c>
      <c r="D7" s="139">
        <v>0.05</v>
      </c>
      <c r="E7" s="233"/>
      <c r="F7" s="319" t="s">
        <v>662</v>
      </c>
      <c r="G7" s="335">
        <v>0.56060606060606055</v>
      </c>
      <c r="H7" s="235"/>
      <c r="I7" s="319" t="s">
        <v>8</v>
      </c>
      <c r="J7" s="378">
        <v>0.2145</v>
      </c>
      <c r="K7" s="312"/>
      <c r="L7" s="319" t="s">
        <v>175</v>
      </c>
      <c r="M7" s="322">
        <v>0.1</v>
      </c>
      <c r="N7" s="243"/>
      <c r="O7" s="237"/>
      <c r="P7" s="245"/>
      <c r="Q7" s="246"/>
      <c r="R7" s="237"/>
      <c r="S7" s="237"/>
      <c r="T7" s="237"/>
      <c r="U7" s="316"/>
      <c r="V7" s="237"/>
      <c r="W7" s="243"/>
      <c r="X7" s="237"/>
      <c r="Y7" s="245"/>
      <c r="Z7" s="357" t="s">
        <v>32</v>
      </c>
      <c r="AA7" s="358"/>
      <c r="AB7" s="359">
        <f>$G$7*$G$8*$G$9*G$20*$J8</f>
        <v>1.6586931818181817E-2</v>
      </c>
      <c r="AC7" s="246"/>
      <c r="AD7" s="628" t="s">
        <v>411</v>
      </c>
      <c r="AE7" s="611">
        <f>G10</f>
        <v>4</v>
      </c>
      <c r="AF7" s="245"/>
      <c r="AG7" s="245"/>
      <c r="AH7" s="245"/>
      <c r="AI7" s="245"/>
      <c r="AJ7" s="245"/>
      <c r="AK7" s="245"/>
      <c r="AL7" s="245"/>
      <c r="AM7" s="245"/>
      <c r="AN7" s="245"/>
      <c r="AO7" s="245"/>
      <c r="AP7" s="245"/>
      <c r="AQ7" s="245"/>
      <c r="AS7" s="231">
        <f t="shared" si="1"/>
        <v>3</v>
      </c>
      <c r="AT7" s="277">
        <f>IF(ISNUMBER(AS7),AW6,0)</f>
        <v>53.191489361702111</v>
      </c>
      <c r="AU7" s="277"/>
      <c r="AV7" s="277">
        <f t="shared" si="2"/>
        <v>7.9787234042553159</v>
      </c>
      <c r="AW7" s="277">
        <f t="shared" si="6"/>
        <v>53.191489361702111</v>
      </c>
      <c r="AX7" s="413">
        <f t="shared" si="0"/>
        <v>7.9787234042553159</v>
      </c>
      <c r="AY7" s="278">
        <f t="shared" si="3"/>
        <v>2.7522961112439681E-2</v>
      </c>
      <c r="AZ7" s="231">
        <f t="shared" si="4"/>
        <v>2.3775368631845095E-2</v>
      </c>
      <c r="BA7" s="231"/>
    </row>
    <row r="8" spans="1:54" ht="24.95" customHeight="1" thickBot="1" x14ac:dyDescent="0.3">
      <c r="A8" s="245"/>
      <c r="B8" s="801"/>
      <c r="C8" s="293"/>
      <c r="D8" s="293"/>
      <c r="E8" s="272"/>
      <c r="F8" s="321" t="s">
        <v>6</v>
      </c>
      <c r="G8" s="244">
        <v>0.5</v>
      </c>
      <c r="H8" s="236"/>
      <c r="I8" s="612" t="s">
        <v>9</v>
      </c>
      <c r="J8" s="376">
        <v>0.26300000000000001</v>
      </c>
      <c r="K8" s="313"/>
      <c r="L8" s="612" t="s">
        <v>169</v>
      </c>
      <c r="M8" s="613">
        <v>0.8</v>
      </c>
      <c r="N8" s="243"/>
      <c r="O8" s="237"/>
      <c r="P8" s="245"/>
      <c r="Q8" s="802" t="s">
        <v>191</v>
      </c>
      <c r="R8" s="237"/>
      <c r="S8" s="618" t="s">
        <v>306</v>
      </c>
      <c r="T8" s="803" t="s">
        <v>34</v>
      </c>
      <c r="U8" s="803"/>
      <c r="V8" s="803" t="s">
        <v>152</v>
      </c>
      <c r="W8" s="804"/>
      <c r="X8" s="237"/>
      <c r="Y8" s="245"/>
      <c r="Z8" s="357" t="s">
        <v>38</v>
      </c>
      <c r="AA8" s="358"/>
      <c r="AB8" s="359">
        <f>$G$7*$G$8*$G$9*G$20</f>
        <v>6.3068181818181815E-2</v>
      </c>
      <c r="AC8" s="371"/>
      <c r="AD8" s="372" t="s">
        <v>668</v>
      </c>
      <c r="AE8" s="373">
        <f>(AE7*M19)/S5</f>
        <v>17.814822183657217</v>
      </c>
      <c r="AF8" s="245"/>
      <c r="AG8" s="245"/>
      <c r="AH8" s="245"/>
      <c r="AI8" s="245"/>
      <c r="AJ8" s="245"/>
      <c r="AK8" s="245"/>
      <c r="AL8" s="245"/>
      <c r="AM8" s="245"/>
      <c r="AN8" s="245"/>
      <c r="AO8" s="245"/>
      <c r="AP8" s="245"/>
      <c r="AQ8" s="245"/>
      <c r="AS8" s="231">
        <f t="shared" si="1"/>
        <v>4</v>
      </c>
      <c r="AT8" s="277">
        <f t="shared" si="5"/>
        <v>53.191489361702111</v>
      </c>
      <c r="AU8" s="277"/>
      <c r="AV8" s="277">
        <f t="shared" si="2"/>
        <v>7.9787234042553159</v>
      </c>
      <c r="AW8" s="277">
        <f t="shared" si="6"/>
        <v>53.191489361702111</v>
      </c>
      <c r="AX8" s="413">
        <f t="shared" si="0"/>
        <v>7.9787234042553159</v>
      </c>
      <c r="AY8" s="278">
        <f t="shared" si="3"/>
        <v>2.7522961112439681E-2</v>
      </c>
      <c r="AZ8" s="231">
        <f t="shared" si="4"/>
        <v>2.2643208220804855E-2</v>
      </c>
      <c r="BA8" s="231"/>
    </row>
    <row r="9" spans="1:54" ht="33.75" x14ac:dyDescent="0.25">
      <c r="A9" s="245"/>
      <c r="B9" s="801"/>
      <c r="C9" s="805" t="s">
        <v>14</v>
      </c>
      <c r="D9" s="805"/>
      <c r="E9" s="233"/>
      <c r="F9" s="612" t="s">
        <v>146</v>
      </c>
      <c r="G9" s="613">
        <v>0.75</v>
      </c>
      <c r="H9" s="236"/>
      <c r="I9" s="612" t="s">
        <v>164</v>
      </c>
      <c r="J9" s="376">
        <v>1</v>
      </c>
      <c r="K9" s="313"/>
      <c r="L9" s="612" t="s">
        <v>170</v>
      </c>
      <c r="M9" s="613">
        <v>0.7</v>
      </c>
      <c r="N9" s="243"/>
      <c r="O9" s="237"/>
      <c r="P9" s="245"/>
      <c r="Q9" s="802"/>
      <c r="R9" s="620" t="s">
        <v>44</v>
      </c>
      <c r="S9" s="619">
        <f>J11*($T$5*AB14*J14*J7+$V$5*J7)</f>
        <v>1.9660151930134609E-2</v>
      </c>
      <c r="T9" s="806">
        <f>S9/(J17/J9)</f>
        <v>2.9343510343484491E-2</v>
      </c>
      <c r="U9" s="806"/>
      <c r="V9" s="807">
        <f>($G$10*$M$19)/T9</f>
        <v>1635.7961074912105</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53.191489361702111</v>
      </c>
      <c r="AU9" s="277"/>
      <c r="AV9" s="277">
        <f t="shared" si="2"/>
        <v>7.9787234042553159</v>
      </c>
      <c r="AW9" s="277">
        <f t="shared" si="6"/>
        <v>53.191489361702111</v>
      </c>
      <c r="AX9" s="413">
        <f t="shared" si="0"/>
        <v>7.9787234042553159</v>
      </c>
      <c r="AY9" s="278">
        <f t="shared" si="3"/>
        <v>2.7522961112439681E-2</v>
      </c>
      <c r="AZ9" s="231">
        <f t="shared" si="4"/>
        <v>2.1564960210290335E-2</v>
      </c>
      <c r="BA9" s="231"/>
    </row>
    <row r="10" spans="1:54" ht="39.75" customHeight="1" x14ac:dyDescent="0.25">
      <c r="A10" s="245"/>
      <c r="B10" s="801"/>
      <c r="C10" s="290" t="s">
        <v>3</v>
      </c>
      <c r="D10" s="291">
        <v>0.15</v>
      </c>
      <c r="E10" s="283"/>
      <c r="F10" s="612" t="s">
        <v>323</v>
      </c>
      <c r="G10" s="466">
        <v>4</v>
      </c>
      <c r="H10" s="284"/>
      <c r="I10" s="612" t="s">
        <v>165</v>
      </c>
      <c r="J10" s="376">
        <v>1</v>
      </c>
      <c r="K10" s="313"/>
      <c r="L10" s="612" t="s">
        <v>184</v>
      </c>
      <c r="M10" s="613">
        <v>1</v>
      </c>
      <c r="N10" s="243"/>
      <c r="O10" s="237"/>
      <c r="P10" s="245"/>
      <c r="Q10" s="802"/>
      <c r="R10" s="620" t="s">
        <v>496</v>
      </c>
      <c r="S10" s="619">
        <f>J20*($T$5*AB15*J15*J8+$V$5*J8)</f>
        <v>1.8542185894927978E-2</v>
      </c>
      <c r="T10" s="806">
        <f>S10/(J18/J10)</f>
        <v>2.5753035965177747E-2</v>
      </c>
      <c r="U10" s="806"/>
      <c r="V10" s="807">
        <f>($G$10*$M$19)/T10</f>
        <v>1863.8579181461841</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53.191489361702111</v>
      </c>
      <c r="AU10" s="277"/>
      <c r="AV10" s="277">
        <f t="shared" si="2"/>
        <v>7.9787234042553159</v>
      </c>
      <c r="AW10" s="277">
        <f t="shared" si="6"/>
        <v>53.191489361702111</v>
      </c>
      <c r="AX10" s="413">
        <f t="shared" si="0"/>
        <v>7.9787234042553159</v>
      </c>
      <c r="AY10" s="278">
        <f t="shared" si="3"/>
        <v>2.7522961112439681E-2</v>
      </c>
      <c r="AZ10" s="231">
        <f t="shared" si="4"/>
        <v>2.0538057343133655E-2</v>
      </c>
      <c r="BA10" s="231"/>
      <c r="BB10" s="498"/>
    </row>
    <row r="11" spans="1:54" ht="33" customHeight="1" x14ac:dyDescent="0.25">
      <c r="A11" s="245"/>
      <c r="B11" s="801"/>
      <c r="C11" s="296" t="s">
        <v>5</v>
      </c>
      <c r="D11" s="297">
        <v>0.25</v>
      </c>
      <c r="E11" s="234"/>
      <c r="F11" s="612" t="s">
        <v>301</v>
      </c>
      <c r="G11" s="466">
        <v>1.2</v>
      </c>
      <c r="H11" s="237"/>
      <c r="I11" s="612" t="s">
        <v>322</v>
      </c>
      <c r="J11" s="376">
        <v>1</v>
      </c>
      <c r="K11" s="313"/>
      <c r="L11" s="612" t="s">
        <v>183</v>
      </c>
      <c r="M11" s="613">
        <v>0.8</v>
      </c>
      <c r="N11" s="243"/>
      <c r="O11" s="245"/>
      <c r="P11" s="245"/>
      <c r="Q11" s="802"/>
      <c r="R11" s="620" t="s">
        <v>38</v>
      </c>
      <c r="S11" s="619" t="s">
        <v>408</v>
      </c>
      <c r="T11" s="806">
        <f>M18*((1/S39)*(1/M20)*T5*AB16+(1/R39)*M19*G10)</f>
        <v>2.0870456965711492E-2</v>
      </c>
      <c r="U11" s="806">
        <f>(1/S39)*(1/M20)*T5+1/R39*(G10*S5)</f>
        <v>1.578507029901545E-2</v>
      </c>
      <c r="V11" s="807">
        <f>($G$10*$M$19)/T11</f>
        <v>2299.9017261030845</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53.191489361702111</v>
      </c>
      <c r="AU11" s="277"/>
      <c r="AV11" s="277">
        <f t="shared" si="2"/>
        <v>7.9787234042553159</v>
      </c>
      <c r="AW11" s="277">
        <f t="shared" si="6"/>
        <v>53.191489361702111</v>
      </c>
      <c r="AX11" s="413">
        <f t="shared" si="0"/>
        <v>7.9787234042553159</v>
      </c>
      <c r="AY11" s="278">
        <f t="shared" si="3"/>
        <v>2.7522961112439681E-2</v>
      </c>
      <c r="AZ11" s="231">
        <f t="shared" si="4"/>
        <v>1.9560054612508239E-2</v>
      </c>
      <c r="BA11" s="231"/>
    </row>
    <row r="12" spans="1:54" ht="22.7" customHeight="1" x14ac:dyDescent="0.25">
      <c r="A12" s="245"/>
      <c r="B12" s="246"/>
      <c r="C12" s="240"/>
      <c r="D12" s="239"/>
      <c r="E12" s="233"/>
      <c r="F12" s="240"/>
      <c r="G12" s="377"/>
      <c r="H12" s="240"/>
      <c r="I12" s="240"/>
      <c r="J12" s="377"/>
      <c r="K12" s="237"/>
      <c r="L12" s="822" t="s">
        <v>176</v>
      </c>
      <c r="M12" s="824">
        <v>0.5</v>
      </c>
      <c r="N12" s="243"/>
      <c r="O12" s="237"/>
      <c r="P12" s="245"/>
      <c r="Q12" s="292"/>
      <c r="R12" s="826" t="s">
        <v>174</v>
      </c>
      <c r="S12" s="828">
        <f>T6</f>
        <v>4.4560004336326262E-3</v>
      </c>
      <c r="T12" s="806">
        <f>M12*S12/(M7/M10)</f>
        <v>2.2280002168163129E-2</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53.191489361702111</v>
      </c>
      <c r="AU12" s="277"/>
      <c r="AV12" s="277">
        <f t="shared" si="2"/>
        <v>7.9787234042553159</v>
      </c>
      <c r="AW12" s="277">
        <f t="shared" si="6"/>
        <v>53.191489361702111</v>
      </c>
      <c r="AX12" s="413">
        <f t="shared" si="0"/>
        <v>7.9787234042553159</v>
      </c>
      <c r="AY12" s="278">
        <f t="shared" si="3"/>
        <v>2.7522961112439681E-2</v>
      </c>
      <c r="AZ12" s="231">
        <f t="shared" si="4"/>
        <v>1.8628623440484039E-2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53.191489361702111</v>
      </c>
      <c r="AU13" s="277"/>
      <c r="AV13" s="277">
        <f t="shared" si="2"/>
        <v>7.9787234042553159</v>
      </c>
      <c r="AW13" s="277">
        <f t="shared" si="6"/>
        <v>53.191489361702111</v>
      </c>
      <c r="AX13" s="413">
        <f t="shared" si="0"/>
        <v>7.9787234042553159</v>
      </c>
      <c r="AY13" s="278">
        <f t="shared" si="3"/>
        <v>2.7522961112439681E-2</v>
      </c>
      <c r="AZ13" s="231">
        <f t="shared" si="4"/>
        <v>1.7741546133794323E-2</v>
      </c>
      <c r="BA13" s="231"/>
    </row>
    <row r="14" spans="1:54" ht="35.1" customHeight="1" x14ac:dyDescent="0.25">
      <c r="A14" s="245"/>
      <c r="B14" s="892" t="s">
        <v>214</v>
      </c>
      <c r="C14" s="836" t="s">
        <v>1</v>
      </c>
      <c r="D14" s="838">
        <v>20</v>
      </c>
      <c r="E14" s="233"/>
      <c r="F14" s="622" t="s">
        <v>560</v>
      </c>
      <c r="G14" s="528">
        <v>8</v>
      </c>
      <c r="H14" s="237"/>
      <c r="I14" s="614" t="s">
        <v>11</v>
      </c>
      <c r="J14" s="379">
        <v>1</v>
      </c>
      <c r="K14" s="237"/>
      <c r="L14" s="612" t="s">
        <v>178</v>
      </c>
      <c r="M14" s="613">
        <v>0.8</v>
      </c>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53.191489361702111</v>
      </c>
      <c r="AU14" s="277"/>
      <c r="AV14" s="277">
        <f t="shared" si="2"/>
        <v>7.9787234042553159</v>
      </c>
      <c r="AW14" s="277">
        <f t="shared" si="6"/>
        <v>53.191489361702111</v>
      </c>
      <c r="AX14" s="413">
        <f t="shared" si="0"/>
        <v>7.9787234042553159</v>
      </c>
      <c r="AY14" s="278">
        <f t="shared" si="3"/>
        <v>2.7522961112439681E-2</v>
      </c>
      <c r="AZ14" s="231">
        <f t="shared" si="4"/>
        <v>1.6896710603613641E-2</v>
      </c>
      <c r="BA14" s="231"/>
    </row>
    <row r="15" spans="1:54" ht="21" customHeight="1" thickBot="1" x14ac:dyDescent="0.3">
      <c r="A15" s="245"/>
      <c r="B15" s="892"/>
      <c r="C15" s="837"/>
      <c r="D15" s="839"/>
      <c r="E15" s="234"/>
      <c r="F15" s="836" t="s">
        <v>2</v>
      </c>
      <c r="G15" s="917">
        <v>1.7608179999999999E-3</v>
      </c>
      <c r="H15" s="237"/>
      <c r="I15" s="818" t="s">
        <v>10</v>
      </c>
      <c r="J15" s="820">
        <v>0.75</v>
      </c>
      <c r="K15" s="314"/>
      <c r="L15" s="320" t="s">
        <v>181</v>
      </c>
      <c r="M15" s="334">
        <v>3.5999999999999997E-2</v>
      </c>
      <c r="N15" s="243"/>
      <c r="O15" s="237"/>
      <c r="P15" s="245"/>
      <c r="Q15" s="802"/>
      <c r="R15" s="624">
        <f>BA5</f>
        <v>0.34299693063277165</v>
      </c>
      <c r="S15" s="624">
        <f>AZ4</f>
        <v>0.44346991161911653</v>
      </c>
      <c r="T15" s="835">
        <f>R15+S15</f>
        <v>0.78646684225188812</v>
      </c>
      <c r="U15" s="835"/>
      <c r="V15" s="806">
        <f>T15/(Elie!Q39/Elie!D19)</f>
        <v>3.0606143633074481E-3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53.191489361702111</v>
      </c>
      <c r="AU15" s="277"/>
      <c r="AV15" s="277">
        <f t="shared" si="2"/>
        <v>7.9787234042553159</v>
      </c>
      <c r="AW15" s="277">
        <f t="shared" si="6"/>
        <v>53.191489361702111</v>
      </c>
      <c r="AX15" s="413">
        <f t="shared" si="0"/>
        <v>7.9787234042553159</v>
      </c>
      <c r="AY15" s="278">
        <f t="shared" si="3"/>
        <v>2.7522961112439681E-2</v>
      </c>
      <c r="AZ15" s="231">
        <f t="shared" si="4"/>
        <v>1.6092105336774895E-2</v>
      </c>
      <c r="BA15" s="231"/>
    </row>
    <row r="16" spans="1:54" ht="21" customHeight="1" thickBot="1" x14ac:dyDescent="0.3">
      <c r="A16" s="245"/>
      <c r="B16" s="892"/>
      <c r="C16" s="841" t="s">
        <v>507</v>
      </c>
      <c r="D16" s="842">
        <v>0</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53.191489361702111</v>
      </c>
      <c r="AU16" s="277"/>
      <c r="AV16" s="277">
        <f t="shared" si="2"/>
        <v>7.9787234042553159</v>
      </c>
      <c r="AW16" s="277">
        <f t="shared" si="6"/>
        <v>53.191489361702111</v>
      </c>
      <c r="AX16" s="413">
        <f t="shared" si="0"/>
        <v>7.9787234042553159</v>
      </c>
      <c r="AY16" s="278">
        <f t="shared" si="3"/>
        <v>2.7522961112439681E-2</v>
      </c>
      <c r="AZ16" s="231">
        <f t="shared" si="4"/>
        <v>1.5325814606452283E-2</v>
      </c>
      <c r="BA16" s="231"/>
    </row>
    <row r="17" spans="1:54" ht="21" customHeight="1" x14ac:dyDescent="0.25">
      <c r="A17" s="245"/>
      <c r="B17" s="892"/>
      <c r="C17" s="836"/>
      <c r="D17" s="843"/>
      <c r="E17" s="234"/>
      <c r="F17" s="841" t="s">
        <v>216</v>
      </c>
      <c r="G17" s="916">
        <v>25</v>
      </c>
      <c r="H17" s="237"/>
      <c r="I17" s="294" t="s">
        <v>28</v>
      </c>
      <c r="J17" s="381">
        <v>0.67</v>
      </c>
      <c r="K17" s="315"/>
      <c r="L17" s="850" t="s">
        <v>38</v>
      </c>
      <c r="M17" s="850"/>
      <c r="N17" s="243"/>
      <c r="O17" s="237"/>
      <c r="P17" s="245"/>
      <c r="Q17" s="617"/>
      <c r="R17" s="410" t="s">
        <v>414</v>
      </c>
      <c r="S17" s="453">
        <f>$T9/$T$9</f>
        <v>1</v>
      </c>
      <c r="T17" s="851">
        <f>$T9/$T$10</f>
        <v>1.1394194604147505</v>
      </c>
      <c r="U17" s="852"/>
      <c r="V17" s="453">
        <f>$T9/$T$11</f>
        <v>1.4059831268521601</v>
      </c>
      <c r="W17" s="454">
        <f>$T9/$V$15</f>
        <v>9.5874575690661246</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53.191489361702111</v>
      </c>
      <c r="AU17" s="277"/>
      <c r="AV17" s="277">
        <f t="shared" si="2"/>
        <v>7.9787234042553159</v>
      </c>
      <c r="AW17" s="277">
        <f t="shared" si="6"/>
        <v>53.191489361702111</v>
      </c>
      <c r="AX17" s="413">
        <f t="shared" si="0"/>
        <v>7.9787234042553159</v>
      </c>
      <c r="AY17" s="278">
        <f t="shared" si="3"/>
        <v>2.7522961112439681E-2</v>
      </c>
      <c r="AZ17" s="231">
        <f t="shared" si="4"/>
        <v>1.4596013910906933E-2</v>
      </c>
      <c r="BA17" s="231"/>
    </row>
    <row r="18" spans="1:54" ht="18" customHeight="1" x14ac:dyDescent="0.25">
      <c r="A18" s="245"/>
      <c r="B18" s="892"/>
      <c r="C18" s="837"/>
      <c r="D18" s="844"/>
      <c r="E18" s="234"/>
      <c r="F18" s="836"/>
      <c r="G18" s="848"/>
      <c r="H18" s="237"/>
      <c r="I18" s="853" t="s">
        <v>7</v>
      </c>
      <c r="J18" s="882">
        <v>0.72</v>
      </c>
      <c r="K18" s="315"/>
      <c r="L18" s="612" t="s">
        <v>519</v>
      </c>
      <c r="M18" s="137">
        <v>0.75</v>
      </c>
      <c r="N18" s="243"/>
      <c r="O18" s="237"/>
      <c r="P18" s="245"/>
      <c r="Q18" s="617"/>
      <c r="R18" s="884" t="s">
        <v>415</v>
      </c>
      <c r="S18" s="885">
        <f>$T10/$T$9</f>
        <v>0.87763991641497718</v>
      </c>
      <c r="T18" s="858">
        <f>$T10/$T$10</f>
        <v>1</v>
      </c>
      <c r="U18" s="859"/>
      <c r="V18" s="885">
        <f>$T10/$T$11</f>
        <v>1.2339469139313981</v>
      </c>
      <c r="W18" s="890">
        <f>$T10/$V$15</f>
        <v>8.4143354595473348</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53.191489361702111</v>
      </c>
      <c r="AU18" s="277"/>
      <c r="AV18" s="277">
        <f t="shared" si="2"/>
        <v>7.9787234042553159</v>
      </c>
      <c r="AW18" s="277">
        <f t="shared" si="6"/>
        <v>53.191489361702111</v>
      </c>
      <c r="AX18" s="413">
        <f t="shared" si="0"/>
        <v>7.9787234042553159</v>
      </c>
      <c r="AY18" s="278">
        <f t="shared" si="3"/>
        <v>2.7522961112439681E-2</v>
      </c>
      <c r="AZ18" s="231">
        <f t="shared" si="4"/>
        <v>1.3900965629435179E-2</v>
      </c>
      <c r="BA18" s="231"/>
    </row>
    <row r="19" spans="1:54" ht="24" customHeight="1" x14ac:dyDescent="0.25">
      <c r="A19" s="245"/>
      <c r="B19" s="892"/>
      <c r="C19" s="836" t="s">
        <v>19</v>
      </c>
      <c r="D19" s="856">
        <v>0.82799999999999996</v>
      </c>
      <c r="E19" s="234"/>
      <c r="F19" s="837"/>
      <c r="G19" s="849"/>
      <c r="H19" s="237"/>
      <c r="I19" s="854"/>
      <c r="J19" s="883"/>
      <c r="K19" s="315"/>
      <c r="L19" s="612" t="s">
        <v>520</v>
      </c>
      <c r="M19" s="506">
        <v>12</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53.191489361702111</v>
      </c>
      <c r="AU19" s="277"/>
      <c r="AV19" s="277">
        <f t="shared" si="2"/>
        <v>7.9787234042553159</v>
      </c>
      <c r="AW19" s="277">
        <f t="shared" si="6"/>
        <v>53.191489361702111</v>
      </c>
      <c r="AX19" s="413">
        <f t="shared" si="0"/>
        <v>7.9787234042553159</v>
      </c>
      <c r="AY19" s="278">
        <f t="shared" si="3"/>
        <v>2.7522961112439681E-2</v>
      </c>
      <c r="AZ19" s="231">
        <f t="shared" si="4"/>
        <v>1.3239014885176356E-2</v>
      </c>
      <c r="BA19" s="231"/>
    </row>
    <row r="20" spans="1:54" ht="35.1" customHeight="1" x14ac:dyDescent="0.25">
      <c r="A20" s="245"/>
      <c r="B20" s="892"/>
      <c r="C20" s="855"/>
      <c r="D20" s="857"/>
      <c r="E20" s="234"/>
      <c r="F20" s="308" t="s">
        <v>199</v>
      </c>
      <c r="G20" s="306">
        <v>0.3</v>
      </c>
      <c r="H20" s="237"/>
      <c r="I20" s="305" t="s">
        <v>321</v>
      </c>
      <c r="J20" s="376">
        <v>1</v>
      </c>
      <c r="K20" s="314"/>
      <c r="L20" s="320" t="s">
        <v>433</v>
      </c>
      <c r="M20" s="137">
        <v>2</v>
      </c>
      <c r="N20" s="243"/>
      <c r="O20" s="237"/>
      <c r="P20" s="237"/>
      <c r="Q20" s="617"/>
      <c r="R20" s="410" t="s">
        <v>416</v>
      </c>
      <c r="S20" s="453">
        <f>$T11/$T$9</f>
        <v>0.71124608887653495</v>
      </c>
      <c r="T20" s="851">
        <f>$T11/$T$10</f>
        <v>0.81040763480980305</v>
      </c>
      <c r="U20" s="852"/>
      <c r="V20" s="453">
        <f>$T11/$T$11</f>
        <v>1</v>
      </c>
      <c r="W20" s="454">
        <f>$T11/$V$15</f>
        <v>6.8190416982680127</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53.191489361702111</v>
      </c>
      <c r="AU20" s="277"/>
      <c r="AV20" s="277">
        <f t="shared" si="2"/>
        <v>7.9787234042553159</v>
      </c>
      <c r="AW20" s="277">
        <f t="shared" si="6"/>
        <v>53.191489361702111</v>
      </c>
      <c r="AX20" s="413">
        <f t="shared" si="0"/>
        <v>7.9787234042553159</v>
      </c>
      <c r="AY20" s="278">
        <f t="shared" si="3"/>
        <v>2.7522961112439681E-2</v>
      </c>
      <c r="AZ20" s="231">
        <f t="shared" si="4"/>
        <v>1.2608585604929863E-2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0.10430293879229194</v>
      </c>
      <c r="T21" s="862">
        <f>$V15/$T$10</f>
        <v>0.11884479823838602</v>
      </c>
      <c r="U21" s="863"/>
      <c r="V21" s="455">
        <f>$V15/$T$11</f>
        <v>0.14664817202305608</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53.191489361702111</v>
      </c>
      <c r="AU21" s="277"/>
      <c r="AV21" s="277">
        <f t="shared" si="2"/>
        <v>7.9787234042553159</v>
      </c>
      <c r="AW21" s="277">
        <f t="shared" si="6"/>
        <v>53.191489361702111</v>
      </c>
      <c r="AX21" s="413">
        <f t="shared" si="0"/>
        <v>7.9787234042553159</v>
      </c>
      <c r="AY21" s="278">
        <f t="shared" si="3"/>
        <v>2.7522961112439681E-2</v>
      </c>
      <c r="AZ21" s="231">
        <f t="shared" si="4"/>
        <v>1.2008176766599869E-2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53.191489361702111</v>
      </c>
      <c r="AU22" s="277"/>
      <c r="AV22" s="277">
        <f t="shared" si="2"/>
        <v>7.9787234042553159</v>
      </c>
      <c r="AW22" s="277">
        <f t="shared" si="6"/>
        <v>53.191489361702111</v>
      </c>
      <c r="AX22" s="413">
        <f t="shared" si="0"/>
        <v>7.9787234042553159</v>
      </c>
      <c r="AY22" s="278">
        <f t="shared" si="3"/>
        <v>2.7522961112439681E-2</v>
      </c>
      <c r="AZ22" s="231">
        <f t="shared" si="4"/>
        <v>1.1436358825333209E-2</v>
      </c>
      <c r="BA22" s="231"/>
    </row>
    <row r="23" spans="1:54" ht="10.5" customHeight="1" x14ac:dyDescent="0.25">
      <c r="A23" s="245"/>
      <c r="B23" s="245"/>
      <c r="C23" s="245"/>
      <c r="D23" s="245"/>
      <c r="E23" s="237"/>
      <c r="F23" s="864" t="s">
        <v>34</v>
      </c>
      <c r="G23" s="256" t="s">
        <v>33</v>
      </c>
      <c r="H23" s="257"/>
      <c r="I23" s="450">
        <f>T9</f>
        <v>2.9343510343484491E-2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53.191489361702111</v>
      </c>
      <c r="AU23" s="277"/>
      <c r="AV23" s="277">
        <f t="shared" si="2"/>
        <v>7.9787234042553159</v>
      </c>
      <c r="AW23" s="277">
        <f t="shared" si="6"/>
        <v>53.191489361702111</v>
      </c>
      <c r="AX23" s="413">
        <f t="shared" si="0"/>
        <v>7.9787234042553159</v>
      </c>
      <c r="AY23" s="278">
        <f t="shared" si="3"/>
        <v>2.7522961112439681E-2</v>
      </c>
      <c r="AZ23" s="231">
        <f t="shared" si="4"/>
        <v>1.0891770309841151E-2</v>
      </c>
      <c r="BA23" s="231"/>
    </row>
    <row r="24" spans="1:54" ht="12" customHeight="1" thickBot="1" x14ac:dyDescent="0.3">
      <c r="A24" s="245"/>
      <c r="B24" s="245"/>
      <c r="C24" s="245"/>
      <c r="D24" s="245"/>
      <c r="E24" s="237"/>
      <c r="F24" s="865"/>
      <c r="G24" s="260" t="s">
        <v>32</v>
      </c>
      <c r="H24" s="261"/>
      <c r="I24" s="451">
        <f>T10</f>
        <v>2.5753035965177747E-2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53.191489361702111</v>
      </c>
      <c r="AU24" s="277"/>
      <c r="AV24" s="277">
        <f t="shared" si="2"/>
        <v>7.9787234042553159</v>
      </c>
      <c r="AW24" s="277">
        <f t="shared" si="6"/>
        <v>53.191489361702111</v>
      </c>
      <c r="AX24" s="413">
        <f t="shared" si="0"/>
        <v>7.9787234042553159</v>
      </c>
      <c r="AY24" s="278">
        <f t="shared" si="3"/>
        <v>2.7522961112439681E-2</v>
      </c>
      <c r="AZ24" s="231">
        <f t="shared" si="4"/>
        <v>1.0373114580801097E-2</v>
      </c>
      <c r="BA24" s="231"/>
    </row>
    <row r="25" spans="1:54" ht="10.7" customHeight="1" x14ac:dyDescent="0.25">
      <c r="A25" s="245"/>
      <c r="B25" s="792" t="s">
        <v>188</v>
      </c>
      <c r="C25" s="878"/>
      <c r="D25" s="878"/>
      <c r="E25" s="878"/>
      <c r="F25" s="865"/>
      <c r="G25" s="260" t="s">
        <v>168</v>
      </c>
      <c r="H25" s="261"/>
      <c r="I25" s="451">
        <f>T12</f>
        <v>2.2280002168163129E-2</v>
      </c>
      <c r="J25" s="262"/>
      <c r="K25" s="263"/>
      <c r="L25" s="262"/>
      <c r="M25" s="262"/>
      <c r="N25" s="262"/>
      <c r="O25" s="262"/>
      <c r="P25" s="237"/>
      <c r="Q25" s="866"/>
      <c r="R25" s="344" t="s">
        <v>38</v>
      </c>
      <c r="S25" s="457">
        <f>(R39/S39)*T5</f>
        <v>76.028219949371262</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3.0606143633074481E-3</v>
      </c>
      <c r="J26" s="262"/>
      <c r="K26" s="263"/>
      <c r="L26" s="262"/>
      <c r="M26" s="262"/>
      <c r="N26" s="262"/>
      <c r="O26" s="262"/>
      <c r="P26" s="237"/>
      <c r="Q26" s="866"/>
      <c r="R26" s="344" t="s">
        <v>42</v>
      </c>
      <c r="S26" s="457">
        <f>T9*$R$39</f>
        <v>90.700790471710562</v>
      </c>
      <c r="T26" s="458"/>
      <c r="U26" s="459" t="s">
        <v>42</v>
      </c>
      <c r="V26" s="459"/>
      <c r="W26" s="460">
        <f>S26/S$25</f>
        <v>1.1929884789109895</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0.8750978617670585</v>
      </c>
      <c r="J27" s="262"/>
      <c r="K27" s="263"/>
      <c r="L27" s="262"/>
      <c r="M27" s="262"/>
      <c r="N27" s="262"/>
      <c r="O27" s="262"/>
      <c r="P27" s="237"/>
      <c r="Q27" s="867"/>
      <c r="R27" s="344" t="s">
        <v>32</v>
      </c>
      <c r="S27" s="457">
        <f>T10*$R$39</f>
        <v>79.602634168364418</v>
      </c>
      <c r="T27" s="458"/>
      <c r="U27" s="459" t="s">
        <v>32</v>
      </c>
      <c r="V27" s="459"/>
      <c r="W27" s="460">
        <f>S27/S$25</f>
        <v>1.0470143089154715</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f>T12*$R$39</f>
        <v>68.867486701792231</v>
      </c>
      <c r="T28" s="458"/>
      <c r="U28" s="459" t="s">
        <v>168</v>
      </c>
      <c r="V28" s="459"/>
      <c r="W28" s="460">
        <f>S28/S$25</f>
        <v>0.90581479807961429</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9.5874575690661246</v>
      </c>
      <c r="H29" s="268" t="s">
        <v>40</v>
      </c>
      <c r="I29" s="265"/>
      <c r="J29" s="265"/>
      <c r="K29" s="269"/>
      <c r="L29" s="237"/>
      <c r="M29" s="237"/>
      <c r="N29" s="237"/>
      <c r="O29" s="262"/>
      <c r="P29" s="237"/>
      <c r="R29" s="344" t="s">
        <v>14</v>
      </c>
      <c r="S29" s="457">
        <f>V15*$R$39</f>
        <v>9.4603589969833219</v>
      </c>
      <c r="T29" s="458"/>
      <c r="U29" s="459" t="s">
        <v>14</v>
      </c>
      <c r="V29" s="459"/>
      <c r="W29" s="460">
        <f>S29/S$25</f>
        <v>0.12443220429576238</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8.4143354595473348</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f>IFERROR(I25/I$26,"-")</f>
        <v>7.2795849210111792</v>
      </c>
      <c r="H31" s="268" t="s">
        <v>40</v>
      </c>
      <c r="I31" s="265"/>
      <c r="J31" s="265"/>
      <c r="K31" s="269"/>
      <c r="L31" s="237"/>
      <c r="M31" s="237"/>
      <c r="N31" s="237"/>
      <c r="O31" s="262"/>
      <c r="P31" s="237"/>
      <c r="Q31" s="341"/>
      <c r="R31" s="343" t="s">
        <v>42</v>
      </c>
      <c r="S31" s="457">
        <f>IFERROR(IF(S26-S$25&gt;0,S26-S$25,"N/A"),"N/A")</f>
        <v>14.672570522339299</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f>IFERROR(IF(S27-S$25&gt;0,S27-S$25,"N/A"),"N/A")</f>
        <v>3.5744142189931551</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1635.7961074912105</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1863.8579181461841</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2299.9017261030845</v>
      </c>
      <c r="J35" s="237"/>
      <c r="K35" s="243"/>
      <c r="L35" s="237"/>
      <c r="M35" s="237"/>
      <c r="N35" s="237"/>
      <c r="O35" s="237"/>
      <c r="P35" s="245"/>
      <c r="Q35" s="285"/>
      <c r="R35" s="898" t="s">
        <v>523</v>
      </c>
      <c r="S35" s="899"/>
      <c r="T35" s="899"/>
      <c r="U35" s="899"/>
      <c r="V35" s="899"/>
      <c r="W35" s="465">
        <f>$G$10*M19</f>
        <v>48</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v>3091</v>
      </c>
      <c r="S39" s="281">
        <v>3.44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[2]Parameters!#REF!</xm:f>
          </x14:formula1>
          <xm:sqref>M7</xm:sqref>
        </x14:dataValidation>
        <x14:dataValidation type="list" allowBlank="1" showInputMessage="1">
          <x14:formula1>
            <xm:f>[2]Parameters!#REF!</xm:f>
          </x14:formula1>
          <xm:sqref>M10</xm:sqref>
        </x14:dataValidation>
        <x14:dataValidation type="list" allowBlank="1" showInputMessage="1">
          <x14:formula1>
            <xm:f>[2]Parameters!#REF!</xm:f>
          </x14:formula1>
          <xm:sqref>J15:J16</xm:sqref>
        </x14:dataValidation>
        <x14:dataValidation type="list" allowBlank="1" showInputMessage="1">
          <x14:formula1>
            <xm:f>[2]Parameters!#REF!</xm:f>
          </x14:formula1>
          <xm:sqref>G9</xm:sqref>
        </x14:dataValidation>
        <x14:dataValidation type="list" allowBlank="1" showInputMessage="1">
          <x14:formula1>
            <xm:f>[2]Parameters!#REF!</xm:f>
          </x14:formula1>
          <xm:sqref>D11</xm:sqref>
        </x14:dataValidation>
        <x14:dataValidation type="list" allowBlank="1" showInputMessage="1">
          <x14:formula1>
            <xm:f>[2]Parameters!#REF!</xm:f>
          </x14:formula1>
          <xm:sqref>D19:D20</xm:sqref>
        </x14:dataValidation>
        <x14:dataValidation type="list" allowBlank="1" showInputMessage="1">
          <x14:formula1>
            <xm:f>[2]Parameters!#REF!</xm:f>
          </x14:formula1>
          <xm:sqref>G7</xm:sqref>
        </x14:dataValidation>
        <x14:dataValidation type="list" allowBlank="1" showInputMessage="1">
          <x14:formula1>
            <xm:f>[2]Parameters!#REF!</xm:f>
          </x14:formula1>
          <xm:sqref>M19</xm:sqref>
        </x14:dataValidation>
        <x14:dataValidation type="list" allowBlank="1" showInputMessage="1">
          <x14:formula1>
            <xm:f>[2]Parameters!#REF!</xm:f>
          </x14:formula1>
          <xm:sqref>D16:D18</xm:sqref>
        </x14:dataValidation>
        <x14:dataValidation type="list" allowBlank="1" showInputMessage="1">
          <x14:formula1>
            <xm:f>[2]Parameters!#REF!</xm:f>
          </x14:formula1>
          <xm:sqref>J9</xm:sqref>
        </x14:dataValidation>
        <x14:dataValidation type="list" allowBlank="1" showInputMessage="1">
          <x14:formula1>
            <xm:f>[2]Parameters!#REF!</xm:f>
          </x14:formula1>
          <xm:sqref>G14</xm:sqref>
        </x14:dataValidation>
        <x14:dataValidation type="list" allowBlank="1" showInputMessage="1">
          <x14:formula1>
            <xm:f>[2]Parameters!#REF!</xm:f>
          </x14:formula1>
          <xm:sqref>M18</xm:sqref>
        </x14:dataValidation>
        <x14:dataValidation type="list" allowBlank="1" showInputMessage="1">
          <x14:formula1>
            <xm:f>[2]Parameters!#REF!</xm:f>
          </x14:formula1>
          <xm:sqref>M20</xm:sqref>
        </x14:dataValidation>
        <x14:dataValidation type="list" allowBlank="1" showInputMessage="1">
          <x14:formula1>
            <xm:f>[2]Parameters!#REF!</xm:f>
          </x14:formula1>
          <xm:sqref>G11</xm:sqref>
        </x14:dataValidation>
        <x14:dataValidation type="list" allowBlank="1" showInputMessage="1">
          <x14:formula1>
            <xm:f>[2]Parameters!#REF!</xm:f>
          </x14:formula1>
          <xm:sqref>D10</xm:sqref>
        </x14:dataValidation>
        <x14:dataValidation type="list" allowBlank="1" showInputMessage="1">
          <x14:formula1>
            <xm:f>[2]Parameters!#REF!</xm:f>
          </x14:formula1>
          <xm:sqref>D14</xm:sqref>
        </x14:dataValidation>
        <x14:dataValidation type="list" allowBlank="1" showInputMessage="1">
          <x14:formula1>
            <xm:f>[2]Parameters!#REF!</xm:f>
          </x14:formula1>
          <xm:sqref>G15:G16</xm:sqref>
        </x14:dataValidation>
        <x14:dataValidation type="list" allowBlank="1" showInputMessage="1">
          <x14:formula1>
            <xm:f>[2]Parameters!#REF!</xm:f>
          </x14:formula1>
          <xm:sqref>G17:G19</xm:sqref>
        </x14:dataValidation>
        <x14:dataValidation type="list" allowBlank="1" showInputMessage="1">
          <x14:formula1>
            <xm:f>[2]Parameters!#REF!</xm:f>
          </x14:formula1>
          <xm:sqref>J14</xm:sqref>
        </x14:dataValidation>
        <x14:dataValidation type="list" allowBlank="1" showInputMessage="1">
          <x14:formula1>
            <xm:f>[2]Parameters!#REF!</xm:f>
          </x14:formula1>
          <xm:sqref>J11 J20</xm:sqref>
        </x14:dataValidation>
        <x14:dataValidation type="list" allowBlank="1" showInputMessage="1">
          <x14:formula1>
            <xm:f>[2]Parameters!#REF!</xm:f>
          </x14:formula1>
          <xm:sqref>M15</xm:sqref>
        </x14:dataValidation>
        <x14:dataValidation type="list" allowBlank="1" showInputMessage="1">
          <x14:formula1>
            <xm:f>[2]Parameters!#REF!</xm:f>
          </x14:formula1>
          <xm:sqref>M14</xm:sqref>
        </x14:dataValidation>
        <x14:dataValidation type="list" allowBlank="1" showInputMessage="1">
          <x14:formula1>
            <xm:f>[2]Parameters!#REF!</xm:f>
          </x14:formula1>
          <xm:sqref>M12</xm:sqref>
        </x14:dataValidation>
        <x14:dataValidation type="list" allowBlank="1" showInputMessage="1">
          <x14:formula1>
            <xm:f>[2]Parameters!#REF!</xm:f>
          </x14:formula1>
          <xm:sqref>M11</xm:sqref>
        </x14:dataValidation>
        <x14:dataValidation type="list" allowBlank="1" showInputMessage="1">
          <x14:formula1>
            <xm:f>[2]Parameters!#REF!</xm:f>
          </x14:formula1>
          <xm:sqref>M9</xm:sqref>
        </x14:dataValidation>
        <x14:dataValidation type="list" allowBlank="1" showInputMessage="1">
          <x14:formula1>
            <xm:f>[2]Parameters!#REF!</xm:f>
          </x14:formula1>
          <xm:sqref>M8</xm:sqref>
        </x14:dataValidation>
        <x14:dataValidation type="list" allowBlank="1" showInputMessage="1">
          <x14:formula1>
            <xm:f>[2]Parameters!#REF!</xm:f>
          </x14:formula1>
          <xm:sqref>J8</xm:sqref>
        </x14:dataValidation>
        <x14:dataValidation type="list" allowBlank="1" showInputMessage="1">
          <x14:formula1>
            <xm:f>[2]Parameters!#REF!</xm:f>
          </x14:formula1>
          <xm:sqref>K10</xm:sqref>
        </x14:dataValidation>
        <x14:dataValidation type="list" allowBlank="1" showInputMessage="1">
          <x14:formula1>
            <xm:f>[2]Parameters!#REF!</xm:f>
          </x14:formula1>
          <xm:sqref>J7</xm:sqref>
        </x14:dataValidation>
        <x14:dataValidation type="list" allowBlank="1" showInputMessage="1">
          <x14:formula1>
            <xm:f>[2]Parameters!#REF!</xm:f>
          </x14:formula1>
          <xm:sqref>K7</xm:sqref>
        </x14:dataValidation>
        <x14:dataValidation type="list" allowBlank="1" showInputMessage="1">
          <x14:formula1>
            <xm:f>[2]Parameters!#REF!</xm:f>
          </x14:formula1>
          <xm:sqref>J10</xm:sqref>
        </x14:dataValidation>
        <x14:dataValidation type="list" allowBlank="1" showInputMessage="1">
          <x14:formula1>
            <xm:f>[2]Parameters!#REF!</xm:f>
          </x14:formula1>
          <xm:sqref>J17:K17</xm:sqref>
        </x14:dataValidation>
        <x14:dataValidation type="list" allowBlank="1" showInputMessage="1">
          <x14:formula1>
            <xm:f>[2]Parameters!#REF!</xm:f>
          </x14:formula1>
          <xm:sqref>K20</xm:sqref>
        </x14:dataValidation>
        <x14:dataValidation type="list" allowBlank="1" showInputMessage="1">
          <x14:formula1>
            <xm:f>[2]Parameters!#REF!</xm:f>
          </x14:formula1>
          <xm:sqref>D7</xm:sqref>
        </x14:dataValidation>
        <x14:dataValidation type="list" allowBlank="1" showInputMessage="1">
          <x14:formula1>
            <xm:f>[2]Parameters!#REF!</xm:f>
          </x14:formula1>
          <xm:sqref>G20</xm:sqref>
        </x14:dataValidation>
        <x14:dataValidation type="list" allowBlank="1" showInputMessage="1">
          <x14:formula1>
            <xm:f>[2]Parameters!#REF!</xm:f>
          </x14:formula1>
          <xm:sqref>G8</xm:sqref>
        </x14:dataValidation>
        <x14:dataValidation type="list" allowBlank="1" showInputMessage="1">
          <x14:formula1>
            <xm:f>[2]Parameters!#REF!</xm:f>
          </x14:formula1>
          <xm:sqref>G10</xm:sqref>
        </x14:dataValidation>
        <x14:dataValidation type="list" allowBlank="1" showInputMessage="1">
          <x14:formula1>
            <xm:f>[2]Parameters!#REF!</xm:f>
          </x14:formula1>
          <xm:sqref>J18:K19</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E6" zoomScale="130" zoomScaleNormal="130" zoomScalePageLayoutView="130" workbookViewId="0">
      <selection activeCell="P37" sqref="P37"/>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0.2001612631072191</v>
      </c>
      <c r="S5" s="616">
        <f>R5*(1-1/(1+D7)^G17)/(1-1/(1+D7))</f>
        <v>3.0672309847121126</v>
      </c>
      <c r="T5" s="798">
        <f>S5*G11*G7*G9*G20*G8/G39</f>
        <v>8.2686374704570562E-2</v>
      </c>
      <c r="U5" s="798"/>
      <c r="V5" s="799">
        <f>$G$15*$G$10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10.638297872340425</v>
      </c>
      <c r="AW5" s="277">
        <f>AT5</f>
        <v>106.38297872340425</v>
      </c>
      <c r="AX5" s="413">
        <f t="shared" si="0"/>
        <v>10.638297872340425</v>
      </c>
      <c r="AY5" s="278">
        <f t="shared" ref="AY5:AY68" si="3">IF(ISNUMBER(AS5),LN(AX5+$J$39)-LN($J$39),0)</f>
        <v>3.6531480770634062E-2</v>
      </c>
      <c r="AZ5" s="231">
        <f t="shared" ref="AZ5:AZ68" si="4">IF(ISNUMBER(AS5),AY5/(1+$D$7)^AS5,0)</f>
        <v>3.5467457058868022E-2</v>
      </c>
      <c r="BA5" s="231">
        <f>SUM(AZ5:AZ111)</f>
        <v>0.56300984271300436</v>
      </c>
      <c r="BB5" s="232">
        <f>SUM(AZ5:AZ23)</f>
        <v>0.52326959161309761</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0</v>
      </c>
      <c r="S6" s="616">
        <f>R6*(1-1/(1+D7)^G17)/(1-1/(1+D7))</f>
        <v>0</v>
      </c>
      <c r="T6" s="798">
        <f>S6*M8*M9*M14*(V39/U39)*G11</f>
        <v>0</v>
      </c>
      <c r="U6" s="798"/>
      <c r="V6" s="799">
        <v>0</v>
      </c>
      <c r="W6" s="811"/>
      <c r="X6" s="237"/>
      <c r="Y6" s="245"/>
      <c r="Z6" s="357" t="s">
        <v>42</v>
      </c>
      <c r="AA6" s="358"/>
      <c r="AB6" s="359">
        <f>$G$7*$G$8*$G$9*G$20*$J7</f>
        <v>1.4742E-2</v>
      </c>
      <c r="AC6" s="246"/>
      <c r="AD6" s="628" t="s">
        <v>669</v>
      </c>
      <c r="AE6" s="611">
        <f>M19</f>
        <v>30</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10.638297872340425</v>
      </c>
      <c r="AW6" s="277">
        <f t="shared" ref="AW6:AW69" si="6">AT6</f>
        <v>106.38297872340425</v>
      </c>
      <c r="AX6" s="413">
        <f t="shared" si="0"/>
        <v>10.638297872340425</v>
      </c>
      <c r="AY6" s="278">
        <f t="shared" si="3"/>
        <v>3.6531480770634062E-2</v>
      </c>
      <c r="AZ6" s="231">
        <f t="shared" si="4"/>
        <v>3.4434424328998077E-2</v>
      </c>
      <c r="BA6" s="231"/>
    </row>
    <row r="7" spans="1:54" ht="26.1" customHeight="1" x14ac:dyDescent="0.25">
      <c r="A7" s="245"/>
      <c r="B7" s="801" t="s">
        <v>45</v>
      </c>
      <c r="C7" s="299" t="s">
        <v>0</v>
      </c>
      <c r="D7" s="139">
        <v>0.03</v>
      </c>
      <c r="E7" s="233"/>
      <c r="F7" s="319" t="s">
        <v>662</v>
      </c>
      <c r="G7" s="335">
        <v>0.9</v>
      </c>
      <c r="H7" s="235"/>
      <c r="I7" s="319" t="s">
        <v>8</v>
      </c>
      <c r="J7" s="378">
        <v>0.24959999999999999</v>
      </c>
      <c r="K7" s="312"/>
      <c r="L7" s="319" t="s">
        <v>175</v>
      </c>
      <c r="M7" s="322"/>
      <c r="N7" s="243"/>
      <c r="O7" s="237"/>
      <c r="P7" s="245"/>
      <c r="Q7" s="246"/>
      <c r="R7" s="237"/>
      <c r="S7" s="237"/>
      <c r="T7" s="237"/>
      <c r="U7" s="316"/>
      <c r="V7" s="237"/>
      <c r="W7" s="243"/>
      <c r="X7" s="237"/>
      <c r="Y7" s="245"/>
      <c r="Z7" s="357" t="s">
        <v>32</v>
      </c>
      <c r="AA7" s="358"/>
      <c r="AB7" s="359">
        <f>$G$7*$G$8*$G$9*G$20*$J8</f>
        <v>1.145221875E-2</v>
      </c>
      <c r="AC7" s="246"/>
      <c r="AD7" s="628" t="s">
        <v>411</v>
      </c>
      <c r="AE7" s="611">
        <f>G10</f>
        <v>3</v>
      </c>
      <c r="AF7" s="245"/>
      <c r="AG7" s="245"/>
      <c r="AH7" s="245"/>
      <c r="AI7" s="245"/>
      <c r="AJ7" s="245"/>
      <c r="AK7" s="245"/>
      <c r="AL7" s="245"/>
      <c r="AM7" s="245"/>
      <c r="AN7" s="245"/>
      <c r="AO7" s="245"/>
      <c r="AP7" s="245"/>
      <c r="AQ7" s="245"/>
      <c r="AS7" s="231">
        <f t="shared" si="1"/>
        <v>3</v>
      </c>
      <c r="AT7" s="277">
        <f>IF(ISNUMBER(AS7),AW6,0)</f>
        <v>106.38297872340425</v>
      </c>
      <c r="AU7" s="277"/>
      <c r="AV7" s="277">
        <f t="shared" si="2"/>
        <v>10.638297872340425</v>
      </c>
      <c r="AW7" s="277">
        <f t="shared" si="6"/>
        <v>106.38297872340425</v>
      </c>
      <c r="AX7" s="413">
        <f t="shared" si="0"/>
        <v>10.638297872340425</v>
      </c>
      <c r="AY7" s="278">
        <f t="shared" si="3"/>
        <v>3.6531480770634062E-2</v>
      </c>
      <c r="AZ7" s="231">
        <f t="shared" si="4"/>
        <v>3.3431479931066092E-2</v>
      </c>
      <c r="BA7" s="231"/>
    </row>
    <row r="8" spans="1:54" ht="24.95" customHeight="1" thickBot="1" x14ac:dyDescent="0.3">
      <c r="A8" s="245"/>
      <c r="B8" s="801"/>
      <c r="C8" s="293"/>
      <c r="D8" s="293"/>
      <c r="E8" s="272"/>
      <c r="F8" s="321" t="s">
        <v>6</v>
      </c>
      <c r="G8" s="244">
        <v>0.35</v>
      </c>
      <c r="H8" s="236"/>
      <c r="I8" s="612" t="s">
        <v>9</v>
      </c>
      <c r="J8" s="376">
        <v>0.19389999999999999</v>
      </c>
      <c r="K8" s="313"/>
      <c r="L8" s="612" t="s">
        <v>169</v>
      </c>
      <c r="M8" s="613"/>
      <c r="N8" s="243"/>
      <c r="O8" s="237"/>
      <c r="P8" s="245"/>
      <c r="Q8" s="802" t="s">
        <v>191</v>
      </c>
      <c r="R8" s="237"/>
      <c r="S8" s="618" t="s">
        <v>306</v>
      </c>
      <c r="T8" s="803" t="s">
        <v>34</v>
      </c>
      <c r="U8" s="803"/>
      <c r="V8" s="803" t="s">
        <v>152</v>
      </c>
      <c r="W8" s="804"/>
      <c r="X8" s="237"/>
      <c r="Y8" s="245"/>
      <c r="Z8" s="357" t="s">
        <v>38</v>
      </c>
      <c r="AA8" s="358"/>
      <c r="AB8" s="359">
        <f>$G$7*$G$8*$G$9*G$20</f>
        <v>5.9062500000000004E-2</v>
      </c>
      <c r="AC8" s="371"/>
      <c r="AD8" s="372" t="s">
        <v>668</v>
      </c>
      <c r="AE8" s="373">
        <f>(AE7*M19)/S5</f>
        <v>29.342426588862629</v>
      </c>
      <c r="AF8" s="245"/>
      <c r="AG8" s="245"/>
      <c r="AH8" s="245"/>
      <c r="AI8" s="245"/>
      <c r="AJ8" s="245"/>
      <c r="AK8" s="245"/>
      <c r="AL8" s="245"/>
      <c r="AM8" s="245"/>
      <c r="AN8" s="245"/>
      <c r="AO8" s="245"/>
      <c r="AP8" s="245"/>
      <c r="AQ8" s="245"/>
      <c r="AS8" s="231">
        <f t="shared" si="1"/>
        <v>4</v>
      </c>
      <c r="AT8" s="277">
        <f t="shared" si="5"/>
        <v>106.38297872340425</v>
      </c>
      <c r="AU8" s="277"/>
      <c r="AV8" s="277">
        <f t="shared" si="2"/>
        <v>10.638297872340425</v>
      </c>
      <c r="AW8" s="277">
        <f t="shared" si="6"/>
        <v>106.38297872340425</v>
      </c>
      <c r="AX8" s="413">
        <f t="shared" si="0"/>
        <v>10.638297872340425</v>
      </c>
      <c r="AY8" s="278">
        <f t="shared" si="3"/>
        <v>3.6531480770634062E-2</v>
      </c>
      <c r="AZ8" s="231">
        <f t="shared" si="4"/>
        <v>3.2457747505889416E-2</v>
      </c>
      <c r="BA8" s="231"/>
    </row>
    <row r="9" spans="1:54" ht="33.75" x14ac:dyDescent="0.25">
      <c r="A9" s="245"/>
      <c r="B9" s="801"/>
      <c r="C9" s="805" t="s">
        <v>14</v>
      </c>
      <c r="D9" s="805"/>
      <c r="E9" s="233"/>
      <c r="F9" s="612" t="s">
        <v>146</v>
      </c>
      <c r="G9" s="613">
        <v>0.75</v>
      </c>
      <c r="H9" s="236"/>
      <c r="I9" s="612" t="s">
        <v>164</v>
      </c>
      <c r="J9" s="376">
        <v>1</v>
      </c>
      <c r="K9" s="313"/>
      <c r="L9" s="612" t="s">
        <v>170</v>
      </c>
      <c r="M9" s="613"/>
      <c r="N9" s="243"/>
      <c r="O9" s="237"/>
      <c r="P9" s="245"/>
      <c r="Q9" s="802"/>
      <c r="R9" s="620" t="s">
        <v>44</v>
      </c>
      <c r="S9" s="619">
        <f>J11*($T$5*AB14*J14*J7+$V$5*J7)</f>
        <v>2.1957019644660812E-2</v>
      </c>
      <c r="T9" s="806">
        <f>S9/(J17/J9)</f>
        <v>3.9208963651180019E-2</v>
      </c>
      <c r="U9" s="806"/>
      <c r="V9" s="807">
        <f>($G$10*$M$19)/T9</f>
        <v>2295.3934921789596</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10.638297872340425</v>
      </c>
      <c r="AW9" s="277">
        <f t="shared" si="6"/>
        <v>106.38297872340425</v>
      </c>
      <c r="AX9" s="413">
        <f t="shared" si="0"/>
        <v>10.638297872340425</v>
      </c>
      <c r="AY9" s="278">
        <f t="shared" si="3"/>
        <v>3.6531480770634062E-2</v>
      </c>
      <c r="AZ9" s="231">
        <f t="shared" si="4"/>
        <v>3.1512376219310113E-2</v>
      </c>
      <c r="BA9" s="231"/>
    </row>
    <row r="10" spans="1:54" ht="39.75" customHeight="1" x14ac:dyDescent="0.25">
      <c r="A10" s="245"/>
      <c r="B10" s="801"/>
      <c r="C10" s="290" t="s">
        <v>3</v>
      </c>
      <c r="D10" s="291">
        <v>0.1</v>
      </c>
      <c r="E10" s="283"/>
      <c r="F10" s="612" t="s">
        <v>323</v>
      </c>
      <c r="G10" s="466">
        <v>3</v>
      </c>
      <c r="H10" s="284"/>
      <c r="I10" s="612" t="s">
        <v>165</v>
      </c>
      <c r="J10" s="376">
        <v>1</v>
      </c>
      <c r="K10" s="313"/>
      <c r="L10" s="612" t="s">
        <v>184</v>
      </c>
      <c r="M10" s="613"/>
      <c r="N10" s="243"/>
      <c r="O10" s="237"/>
      <c r="P10" s="245"/>
      <c r="Q10" s="802"/>
      <c r="R10" s="620" t="s">
        <v>496</v>
      </c>
      <c r="S10" s="619">
        <f>J20*($T$5*AB15*J15*J8+$V$5*J8)</f>
        <v>1.3048933872012173E-2</v>
      </c>
      <c r="T10" s="806">
        <f>S10/(J18/J10)</f>
        <v>2.4657849342426631E-2</v>
      </c>
      <c r="U10" s="806"/>
      <c r="V10" s="807">
        <f>($G$10*$M$19)/T10</f>
        <v>3649.953357657384</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10.638297872340425</v>
      </c>
      <c r="AW10" s="277">
        <f t="shared" si="6"/>
        <v>106.38297872340425</v>
      </c>
      <c r="AX10" s="413">
        <f t="shared" si="0"/>
        <v>10.638297872340425</v>
      </c>
      <c r="AY10" s="278">
        <f t="shared" si="3"/>
        <v>3.6531480770634062E-2</v>
      </c>
      <c r="AZ10" s="231">
        <f t="shared" si="4"/>
        <v>3.059454001874768E-2</v>
      </c>
      <c r="BA10" s="231"/>
      <c r="BB10" s="498"/>
    </row>
    <row r="11" spans="1:54" ht="33" customHeight="1" x14ac:dyDescent="0.25">
      <c r="A11" s="245"/>
      <c r="B11" s="801"/>
      <c r="C11" s="296" t="s">
        <v>5</v>
      </c>
      <c r="D11" s="297">
        <v>0.5</v>
      </c>
      <c r="E11" s="234"/>
      <c r="F11" s="612" t="s">
        <v>301</v>
      </c>
      <c r="G11" s="466">
        <v>1.1000000000000001</v>
      </c>
      <c r="H11" s="237"/>
      <c r="I11" s="612" t="s">
        <v>322</v>
      </c>
      <c r="J11" s="376">
        <v>1</v>
      </c>
      <c r="K11" s="313"/>
      <c r="L11" s="612" t="s">
        <v>183</v>
      </c>
      <c r="M11" s="613"/>
      <c r="N11" s="243"/>
      <c r="O11" s="245"/>
      <c r="P11" s="245"/>
      <c r="Q11" s="802"/>
      <c r="R11" s="620" t="s">
        <v>38</v>
      </c>
      <c r="S11" s="619" t="s">
        <v>408</v>
      </c>
      <c r="T11" s="806">
        <f>M18*((1/S39)*(1/M20)*T5*AB16+(1/R39)*M19*G10)</f>
        <v>4.0812336203206699E-2</v>
      </c>
      <c r="U11" s="806">
        <f>(1/S39)*(1/M20)*T5+1/R39*(G10*S5)</f>
        <v>2.4107687154666921E-2</v>
      </c>
      <c r="V11" s="807">
        <f>($G$10*$M$19)/T11</f>
        <v>2205.2155885388529</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10.638297872340425</v>
      </c>
      <c r="AW11" s="277">
        <f t="shared" si="6"/>
        <v>106.38297872340425</v>
      </c>
      <c r="AX11" s="413">
        <f t="shared" si="0"/>
        <v>10.638297872340425</v>
      </c>
      <c r="AY11" s="278">
        <f t="shared" si="3"/>
        <v>3.6531480770634062E-2</v>
      </c>
      <c r="AZ11" s="231">
        <f t="shared" si="4"/>
        <v>2.9703436911405513E-2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T6</f>
        <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10.638297872340425</v>
      </c>
      <c r="AW12" s="277">
        <f t="shared" si="6"/>
        <v>106.38297872340425</v>
      </c>
      <c r="AX12" s="413">
        <f t="shared" si="0"/>
        <v>10.638297872340425</v>
      </c>
      <c r="AY12" s="278">
        <f t="shared" si="3"/>
        <v>3.6531480770634062E-2</v>
      </c>
      <c r="AZ12" s="231">
        <f t="shared" si="4"/>
        <v>2.8838288263500503E-2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10.638297872340425</v>
      </c>
      <c r="AW13" s="277">
        <f t="shared" si="6"/>
        <v>106.38297872340425</v>
      </c>
      <c r="AX13" s="413">
        <f t="shared" si="0"/>
        <v>10.638297872340425</v>
      </c>
      <c r="AY13" s="278">
        <f t="shared" si="3"/>
        <v>3.6531480770634062E-2</v>
      </c>
      <c r="AZ13" s="231">
        <f t="shared" si="4"/>
        <v>2.7998338119903401E-2</v>
      </c>
      <c r="BA13" s="231"/>
    </row>
    <row r="14" spans="1:54" ht="35.1" customHeight="1" x14ac:dyDescent="0.25">
      <c r="A14" s="245"/>
      <c r="B14" s="892" t="s">
        <v>214</v>
      </c>
      <c r="C14" s="836" t="s">
        <v>1</v>
      </c>
      <c r="D14" s="838">
        <v>20</v>
      </c>
      <c r="E14" s="233"/>
      <c r="F14" s="622" t="s">
        <v>560</v>
      </c>
      <c r="G14" s="528">
        <v>10</v>
      </c>
      <c r="H14" s="237"/>
      <c r="I14" s="614" t="s">
        <v>11</v>
      </c>
      <c r="J14" s="379">
        <v>1</v>
      </c>
      <c r="K14" s="237"/>
      <c r="L14" s="612" t="s">
        <v>178</v>
      </c>
      <c r="M14" s="613"/>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10.638297872340425</v>
      </c>
      <c r="AW14" s="277">
        <f t="shared" si="6"/>
        <v>106.38297872340425</v>
      </c>
      <c r="AX14" s="413">
        <f t="shared" si="0"/>
        <v>10.638297872340425</v>
      </c>
      <c r="AY14" s="278">
        <f t="shared" si="3"/>
        <v>3.6531480770634062E-2</v>
      </c>
      <c r="AZ14" s="231">
        <f t="shared" si="4"/>
        <v>2.7182852543595534E-2</v>
      </c>
      <c r="BA14" s="231"/>
    </row>
    <row r="15" spans="1:54" ht="21" customHeight="1" thickBot="1" x14ac:dyDescent="0.3">
      <c r="A15" s="245"/>
      <c r="B15" s="892"/>
      <c r="C15" s="837"/>
      <c r="D15" s="839"/>
      <c r="E15" s="234"/>
      <c r="F15" s="836" t="s">
        <v>2</v>
      </c>
      <c r="G15" s="917">
        <v>1.7608179999999999E-3</v>
      </c>
      <c r="H15" s="237"/>
      <c r="I15" s="818" t="s">
        <v>10</v>
      </c>
      <c r="J15" s="820">
        <v>0.75</v>
      </c>
      <c r="K15" s="314"/>
      <c r="L15" s="320" t="s">
        <v>181</v>
      </c>
      <c r="M15" s="334"/>
      <c r="N15" s="243"/>
      <c r="O15" s="237"/>
      <c r="P15" s="245"/>
      <c r="Q15" s="802"/>
      <c r="R15" s="624">
        <f>BA5</f>
        <v>0.56300984271300436</v>
      </c>
      <c r="S15" s="624">
        <f>AZ4</f>
        <v>0.31632022465180309</v>
      </c>
      <c r="T15" s="835">
        <f>R15+S15</f>
        <v>0.87933006736480746</v>
      </c>
      <c r="U15" s="835"/>
      <c r="V15" s="806">
        <f>T15/(Natalie!Q39/Natalie!D19)</f>
        <v>3.422000890156885E-3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10.638297872340425</v>
      </c>
      <c r="AW15" s="277">
        <f t="shared" si="6"/>
        <v>106.38297872340425</v>
      </c>
      <c r="AX15" s="413">
        <f t="shared" si="0"/>
        <v>10.638297872340425</v>
      </c>
      <c r="AY15" s="278">
        <f t="shared" si="3"/>
        <v>3.6531480770634062E-2</v>
      </c>
      <c r="AZ15" s="231">
        <f t="shared" si="4"/>
        <v>2.6391118974364594E-2</v>
      </c>
      <c r="BA15" s="231"/>
    </row>
    <row r="16" spans="1:54" ht="21" customHeight="1" thickBot="1" x14ac:dyDescent="0.3">
      <c r="A16" s="245"/>
      <c r="B16" s="892"/>
      <c r="C16" s="841" t="s">
        <v>507</v>
      </c>
      <c r="D16" s="842">
        <v>0.1</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10.638297872340425</v>
      </c>
      <c r="AW16" s="277">
        <f t="shared" si="6"/>
        <v>106.38297872340425</v>
      </c>
      <c r="AX16" s="413">
        <f t="shared" si="0"/>
        <v>10.638297872340425</v>
      </c>
      <c r="AY16" s="278">
        <f t="shared" si="3"/>
        <v>3.6531480770634062E-2</v>
      </c>
      <c r="AZ16" s="231">
        <f t="shared" si="4"/>
        <v>2.5622445606179222E-2</v>
      </c>
      <c r="BA16" s="231"/>
    </row>
    <row r="17" spans="1:54" ht="21" customHeight="1" x14ac:dyDescent="0.25">
      <c r="A17" s="245"/>
      <c r="B17" s="892"/>
      <c r="C17" s="836"/>
      <c r="D17" s="843"/>
      <c r="E17" s="234"/>
      <c r="F17" s="841" t="s">
        <v>216</v>
      </c>
      <c r="G17" s="916">
        <v>20</v>
      </c>
      <c r="H17" s="237"/>
      <c r="I17" s="294" t="s">
        <v>28</v>
      </c>
      <c r="J17" s="381">
        <v>0.56000000000000005</v>
      </c>
      <c r="K17" s="315"/>
      <c r="L17" s="850" t="s">
        <v>38</v>
      </c>
      <c r="M17" s="850"/>
      <c r="N17" s="243"/>
      <c r="O17" s="237"/>
      <c r="P17" s="245"/>
      <c r="Q17" s="617"/>
      <c r="R17" s="410" t="s">
        <v>414</v>
      </c>
      <c r="S17" s="453">
        <f>$T9/$T$9</f>
        <v>1</v>
      </c>
      <c r="T17" s="851">
        <f>$T9/$T$10</f>
        <v>1.5901209836543426</v>
      </c>
      <c r="U17" s="852"/>
      <c r="V17" s="453">
        <f>$T9/$T$11</f>
        <v>0.96071353171150486</v>
      </c>
      <c r="W17" s="454">
        <f>$T9/$V$15</f>
        <v>11.457905742795539</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10.638297872340425</v>
      </c>
      <c r="AW17" s="277">
        <f t="shared" si="6"/>
        <v>106.38297872340425</v>
      </c>
      <c r="AX17" s="413">
        <f t="shared" si="0"/>
        <v>10.638297872340425</v>
      </c>
      <c r="AY17" s="278">
        <f t="shared" si="3"/>
        <v>3.6531480770634062E-2</v>
      </c>
      <c r="AZ17" s="231">
        <f t="shared" si="4"/>
        <v>2.4876160782698276E-2</v>
      </c>
      <c r="BA17" s="231"/>
    </row>
    <row r="18" spans="1:54" ht="18" customHeight="1" x14ac:dyDescent="0.25">
      <c r="A18" s="245"/>
      <c r="B18" s="892"/>
      <c r="C18" s="837"/>
      <c r="D18" s="844"/>
      <c r="E18" s="234"/>
      <c r="F18" s="836"/>
      <c r="G18" s="848"/>
      <c r="H18" s="237"/>
      <c r="I18" s="853" t="s">
        <v>7</v>
      </c>
      <c r="J18" s="882">
        <v>0.5292</v>
      </c>
      <c r="K18" s="315"/>
      <c r="L18" s="612" t="s">
        <v>519</v>
      </c>
      <c r="M18" s="137">
        <v>0.86</v>
      </c>
      <c r="N18" s="243"/>
      <c r="O18" s="237"/>
      <c r="P18" s="245"/>
      <c r="Q18" s="617"/>
      <c r="R18" s="884" t="s">
        <v>415</v>
      </c>
      <c r="S18" s="885">
        <f>$T10/$T$9</f>
        <v>0.62888296568594815</v>
      </c>
      <c r="T18" s="858">
        <f>$T10/$T$10</f>
        <v>1</v>
      </c>
      <c r="U18" s="859"/>
      <c r="V18" s="885">
        <f>$T10/$T$11</f>
        <v>0.60417637499735233</v>
      </c>
      <c r="W18" s="890">
        <f>$T10/$V$15</f>
        <v>7.2056817440793148</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10.638297872340425</v>
      </c>
      <c r="AW18" s="277">
        <f t="shared" si="6"/>
        <v>106.38297872340425</v>
      </c>
      <c r="AX18" s="413">
        <f t="shared" si="0"/>
        <v>10.638297872340425</v>
      </c>
      <c r="AY18" s="278">
        <f t="shared" si="3"/>
        <v>3.6531480770634062E-2</v>
      </c>
      <c r="AZ18" s="231">
        <f t="shared" si="4"/>
        <v>2.4151612410386672E-2</v>
      </c>
      <c r="BA18" s="231"/>
    </row>
    <row r="19" spans="1:54" ht="24" customHeight="1" x14ac:dyDescent="0.25">
      <c r="A19" s="245"/>
      <c r="B19" s="892"/>
      <c r="C19" s="836" t="s">
        <v>19</v>
      </c>
      <c r="D19" s="856">
        <v>0.82799999999999996</v>
      </c>
      <c r="E19" s="234"/>
      <c r="F19" s="837"/>
      <c r="G19" s="849"/>
      <c r="H19" s="237"/>
      <c r="I19" s="854"/>
      <c r="J19" s="883"/>
      <c r="K19" s="315"/>
      <c r="L19" s="612" t="s">
        <v>520</v>
      </c>
      <c r="M19" s="506">
        <v>30</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10.638297872340425</v>
      </c>
      <c r="AW19" s="277">
        <f t="shared" si="6"/>
        <v>106.38297872340425</v>
      </c>
      <c r="AX19" s="413">
        <f t="shared" si="0"/>
        <v>10.638297872340425</v>
      </c>
      <c r="AY19" s="278">
        <f t="shared" si="3"/>
        <v>3.6531480770634062E-2</v>
      </c>
      <c r="AZ19" s="231">
        <f t="shared" si="4"/>
        <v>2.3448167388724923E-2</v>
      </c>
      <c r="BA19" s="231"/>
    </row>
    <row r="20" spans="1:54" ht="35.1" customHeight="1" x14ac:dyDescent="0.25">
      <c r="A20" s="245"/>
      <c r="B20" s="892"/>
      <c r="C20" s="855"/>
      <c r="D20" s="857"/>
      <c r="E20" s="234"/>
      <c r="F20" s="308" t="s">
        <v>199</v>
      </c>
      <c r="G20" s="306">
        <v>0.25</v>
      </c>
      <c r="H20" s="237"/>
      <c r="I20" s="305" t="s">
        <v>321</v>
      </c>
      <c r="J20" s="304">
        <v>1</v>
      </c>
      <c r="K20" s="314"/>
      <c r="L20" s="320" t="s">
        <v>433</v>
      </c>
      <c r="M20" s="137">
        <v>1</v>
      </c>
      <c r="N20" s="243"/>
      <c r="O20" s="237"/>
      <c r="P20" s="237"/>
      <c r="Q20" s="617"/>
      <c r="R20" s="410" t="s">
        <v>416</v>
      </c>
      <c r="S20" s="453">
        <f>$T11/$T$9</f>
        <v>1.040893010238449</v>
      </c>
      <c r="T20" s="851">
        <f>$T11/$T$10</f>
        <v>1.6551458173192923</v>
      </c>
      <c r="U20" s="852"/>
      <c r="V20" s="453">
        <f>$T11/$T$11</f>
        <v>1</v>
      </c>
      <c r="W20" s="454">
        <f>$T11/$V$15</f>
        <v>11.926453999646862</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106.38297872340425</v>
      </c>
      <c r="AU20" s="277"/>
      <c r="AV20" s="277">
        <f t="shared" si="2"/>
        <v>10.638297872340425</v>
      </c>
      <c r="AW20" s="277">
        <f t="shared" si="6"/>
        <v>106.38297872340425</v>
      </c>
      <c r="AX20" s="413">
        <f t="shared" si="0"/>
        <v>10.638297872340425</v>
      </c>
      <c r="AY20" s="278">
        <f t="shared" si="3"/>
        <v>3.6531480770634062E-2</v>
      </c>
      <c r="AZ20" s="231">
        <f t="shared" si="4"/>
        <v>2.2765211057014494E-2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8.727598414996357E-2</v>
      </c>
      <c r="T21" s="862">
        <f>$V15/$T$10</f>
        <v>0.13877937376594088</v>
      </c>
      <c r="U21" s="863"/>
      <c r="V21" s="455">
        <f>$V15/$T$11</f>
        <v>8.3847218966308826E-2</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106.38297872340425</v>
      </c>
      <c r="AU21" s="277"/>
      <c r="AV21" s="277">
        <f t="shared" si="2"/>
        <v>10.638297872340425</v>
      </c>
      <c r="AW21" s="277">
        <f t="shared" si="6"/>
        <v>106.38297872340425</v>
      </c>
      <c r="AX21" s="413">
        <f t="shared" si="0"/>
        <v>10.638297872340425</v>
      </c>
      <c r="AY21" s="278">
        <f t="shared" si="3"/>
        <v>3.6531480770634062E-2</v>
      </c>
      <c r="AZ21" s="231">
        <f t="shared" si="4"/>
        <v>2.2102146657295624E-2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106.38297872340425</v>
      </c>
      <c r="AU22" s="277"/>
      <c r="AV22" s="277">
        <f t="shared" si="2"/>
        <v>10.638297872340425</v>
      </c>
      <c r="AW22" s="277">
        <f t="shared" si="6"/>
        <v>106.38297872340425</v>
      </c>
      <c r="AX22" s="413">
        <f t="shared" si="0"/>
        <v>10.638297872340425</v>
      </c>
      <c r="AY22" s="278">
        <f t="shared" si="3"/>
        <v>3.6531480770634062E-2</v>
      </c>
      <c r="AZ22" s="231">
        <f t="shared" si="4"/>
        <v>2.1458394812908371E-2</v>
      </c>
      <c r="BA22" s="231"/>
    </row>
    <row r="23" spans="1:54" ht="10.5" customHeight="1" x14ac:dyDescent="0.25">
      <c r="A23" s="245"/>
      <c r="B23" s="245"/>
      <c r="C23" s="245"/>
      <c r="D23" s="245"/>
      <c r="E23" s="237"/>
      <c r="F23" s="864" t="s">
        <v>34</v>
      </c>
      <c r="G23" s="256" t="s">
        <v>33</v>
      </c>
      <c r="H23" s="257"/>
      <c r="I23" s="450">
        <f>T9</f>
        <v>3.9208963651180019E-2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106.38297872340425</v>
      </c>
      <c r="AU23" s="277"/>
      <c r="AV23" s="277">
        <f t="shared" si="2"/>
        <v>10.638297872340425</v>
      </c>
      <c r="AW23" s="277">
        <f t="shared" si="6"/>
        <v>106.38297872340425</v>
      </c>
      <c r="AX23" s="413">
        <f t="shared" si="0"/>
        <v>10.638297872340425</v>
      </c>
      <c r="AY23" s="278">
        <f t="shared" si="3"/>
        <v>3.6531480770634062E-2</v>
      </c>
      <c r="AZ23" s="231">
        <f t="shared" si="4"/>
        <v>2.0833393022241138E-2</v>
      </c>
      <c r="BA23" s="231"/>
    </row>
    <row r="24" spans="1:54" ht="12" customHeight="1" thickBot="1" x14ac:dyDescent="0.3">
      <c r="A24" s="245"/>
      <c r="B24" s="245"/>
      <c r="C24" s="245"/>
      <c r="D24" s="245"/>
      <c r="E24" s="237"/>
      <c r="F24" s="865"/>
      <c r="G24" s="260" t="s">
        <v>32</v>
      </c>
      <c r="H24" s="261"/>
      <c r="I24" s="451">
        <f>T10</f>
        <v>2.4657849342426631E-2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106.38297872340425</v>
      </c>
      <c r="AU24" s="277"/>
      <c r="AV24" s="277">
        <f t="shared" si="2"/>
        <v>10.638297872340425</v>
      </c>
      <c r="AW24" s="277">
        <f t="shared" si="6"/>
        <v>106.38297872340425</v>
      </c>
      <c r="AX24" s="413">
        <f t="shared" si="0"/>
        <v>21.276595744680851</v>
      </c>
      <c r="AY24" s="278">
        <f t="shared" si="3"/>
        <v>7.1775313980125155E-2</v>
      </c>
      <c r="AZ24" s="231">
        <f t="shared" si="4"/>
        <v>3.9740251099906788E-2</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f>(R39/S39)*T5</f>
        <v>74.223744633856171</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3.422000890156885E-3</v>
      </c>
      <c r="J26" s="262"/>
      <c r="K26" s="263"/>
      <c r="L26" s="262"/>
      <c r="M26" s="262"/>
      <c r="N26" s="262"/>
      <c r="O26" s="262"/>
      <c r="P26" s="237"/>
      <c r="Q26" s="866"/>
      <c r="R26" s="344" t="s">
        <v>42</v>
      </c>
      <c r="S26" s="457">
        <f>T9*$R$39</f>
        <v>135.68389738034904</v>
      </c>
      <c r="T26" s="458"/>
      <c r="U26" s="459" t="s">
        <v>42</v>
      </c>
      <c r="V26" s="459"/>
      <c r="W26" s="460">
        <f>S26/S$25</f>
        <v>1.8280389658279061</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0.97842632441454225</v>
      </c>
      <c r="J27" s="262"/>
      <c r="K27" s="263"/>
      <c r="L27" s="262"/>
      <c r="M27" s="262"/>
      <c r="N27" s="262"/>
      <c r="O27" s="262"/>
      <c r="P27" s="237"/>
      <c r="Q27" s="867"/>
      <c r="R27" s="344" t="s">
        <v>32</v>
      </c>
      <c r="S27" s="457">
        <f>T10*$R$39</f>
        <v>85.329291780381737</v>
      </c>
      <c r="T27" s="458"/>
      <c r="U27" s="459" t="s">
        <v>32</v>
      </c>
      <c r="V27" s="459"/>
      <c r="W27" s="460">
        <f>S27/S$25</f>
        <v>1.1496225662193271</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str">
        <f>IFERROR(T12*$R$39,"-")</f>
        <v>-</v>
      </c>
      <c r="T28" s="458"/>
      <c r="U28" s="459" t="s">
        <v>168</v>
      </c>
      <c r="V28" s="459"/>
      <c r="W28" s="460" t="e">
        <f>S28/S$25</f>
        <v>#VALUE!</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11.457905742795539</v>
      </c>
      <c r="H29" s="268" t="s">
        <v>40</v>
      </c>
      <c r="I29" s="265"/>
      <c r="J29" s="265"/>
      <c r="K29" s="269"/>
      <c r="L29" s="237"/>
      <c r="M29" s="237"/>
      <c r="N29" s="237"/>
      <c r="O29" s="262"/>
      <c r="P29" s="237"/>
      <c r="R29" s="344" t="s">
        <v>14</v>
      </c>
      <c r="S29" s="457">
        <f>V15*$R$39</f>
        <v>11.841945677172625</v>
      </c>
      <c r="T29" s="458"/>
      <c r="U29" s="459" t="s">
        <v>14</v>
      </c>
      <c r="V29" s="459"/>
      <c r="W29" s="460">
        <f>S29/S$25</f>
        <v>0.15954389980711212</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7.2056817440793148</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t="str">
        <f>IFERROR((I25/I$26),"-")</f>
        <v>-</v>
      </c>
      <c r="H31" s="268" t="s">
        <v>40</v>
      </c>
      <c r="I31" s="265"/>
      <c r="J31" s="265"/>
      <c r="K31" s="269"/>
      <c r="L31" s="237"/>
      <c r="M31" s="237"/>
      <c r="N31" s="237"/>
      <c r="O31" s="262"/>
      <c r="P31" s="237"/>
      <c r="Q31" s="341"/>
      <c r="R31" s="343" t="s">
        <v>42</v>
      </c>
      <c r="S31" s="457">
        <f>IFERROR(IF(S26-S$25&gt;0,S26-S$25,"N/A"),"N/A")</f>
        <v>61.460152746492867</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f>IFERROR(IF(S27-S$25&gt;0,S27-S$25,"N/A"),"N/A")</f>
        <v>11.105547146525566</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2295.3934921789596</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3649.953357657384</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2205.2155885388529</v>
      </c>
      <c r="J35" s="237"/>
      <c r="K35" s="243"/>
      <c r="L35" s="237"/>
      <c r="M35" s="237"/>
      <c r="N35" s="237"/>
      <c r="O35" s="237"/>
      <c r="P35" s="245"/>
      <c r="Q35" s="285"/>
      <c r="R35" s="898" t="s">
        <v>523</v>
      </c>
      <c r="S35" s="899"/>
      <c r="T35" s="899"/>
      <c r="U35" s="899"/>
      <c r="V35" s="899"/>
      <c r="W35" s="465">
        <f>$G$10*M19</f>
        <v>90</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[6]Parameters!#REF!</xm:f>
          </x14:formula1>
          <xm:sqref>M7</xm:sqref>
        </x14:dataValidation>
        <x14:dataValidation type="list" allowBlank="1" showInputMessage="1">
          <x14:formula1>
            <xm:f>[6]Parameters!#REF!</xm:f>
          </x14:formula1>
          <xm:sqref>M10</xm:sqref>
        </x14:dataValidation>
        <x14:dataValidation type="list" allowBlank="1" showInputMessage="1">
          <x14:formula1>
            <xm:f>[6]Parameters!#REF!</xm:f>
          </x14:formula1>
          <xm:sqref>J15:J16</xm:sqref>
        </x14:dataValidation>
        <x14:dataValidation type="list" allowBlank="1" showInputMessage="1">
          <x14:formula1>
            <xm:f>[6]Parameters!#REF!</xm:f>
          </x14:formula1>
          <xm:sqref>G9</xm:sqref>
        </x14:dataValidation>
        <x14:dataValidation type="list" allowBlank="1" showInputMessage="1">
          <x14:formula1>
            <xm:f>[6]Parameters!#REF!</xm:f>
          </x14:formula1>
          <xm:sqref>D11</xm:sqref>
        </x14:dataValidation>
        <x14:dataValidation type="list" allowBlank="1" showInputMessage="1">
          <x14:formula1>
            <xm:f>[6]Parameters!#REF!</xm:f>
          </x14:formula1>
          <xm:sqref>D19:D20</xm:sqref>
        </x14:dataValidation>
        <x14:dataValidation type="list" allowBlank="1" showInputMessage="1">
          <x14:formula1>
            <xm:f>[6]Parameters!#REF!</xm:f>
          </x14:formula1>
          <xm:sqref>G7</xm:sqref>
        </x14:dataValidation>
        <x14:dataValidation type="list" allowBlank="1" showInputMessage="1">
          <x14:formula1>
            <xm:f>[6]Parameters!#REF!</xm:f>
          </x14:formula1>
          <xm:sqref>M19</xm:sqref>
        </x14:dataValidation>
        <x14:dataValidation type="list" allowBlank="1" showInputMessage="1">
          <x14:formula1>
            <xm:f>[6]Parameters!#REF!</xm:f>
          </x14:formula1>
          <xm:sqref>D16:D18</xm:sqref>
        </x14:dataValidation>
        <x14:dataValidation type="list" allowBlank="1" showInputMessage="1">
          <x14:formula1>
            <xm:f>[6]Parameters!#REF!</xm:f>
          </x14:formula1>
          <xm:sqref>J9</xm:sqref>
        </x14:dataValidation>
        <x14:dataValidation type="list" allowBlank="1" showInputMessage="1">
          <x14:formula1>
            <xm:f>[6]Parameters!#REF!</xm:f>
          </x14:formula1>
          <xm:sqref>G14</xm:sqref>
        </x14:dataValidation>
        <x14:dataValidation type="list" allowBlank="1" showInputMessage="1">
          <x14:formula1>
            <xm:f>[6]Parameters!#REF!</xm:f>
          </x14:formula1>
          <xm:sqref>M18</xm:sqref>
        </x14:dataValidation>
        <x14:dataValidation type="list" allowBlank="1" showInputMessage="1">
          <x14:formula1>
            <xm:f>[6]Parameters!#REF!</xm:f>
          </x14:formula1>
          <xm:sqref>M20</xm:sqref>
        </x14:dataValidation>
        <x14:dataValidation type="list" allowBlank="1" showInputMessage="1">
          <x14:formula1>
            <xm:f>[6]Parameters!#REF!</xm:f>
          </x14:formula1>
          <xm:sqref>G11</xm:sqref>
        </x14:dataValidation>
        <x14:dataValidation type="list" allowBlank="1" showInputMessage="1">
          <x14:formula1>
            <xm:f>[6]Parameters!#REF!</xm:f>
          </x14:formula1>
          <xm:sqref>D10</xm:sqref>
        </x14:dataValidation>
        <x14:dataValidation type="list" allowBlank="1" showInputMessage="1">
          <x14:formula1>
            <xm:f>[6]Parameters!#REF!</xm:f>
          </x14:formula1>
          <xm:sqref>D14</xm:sqref>
        </x14:dataValidation>
        <x14:dataValidation type="list" allowBlank="1" showInputMessage="1">
          <x14:formula1>
            <xm:f>[6]Parameters!#REF!</xm:f>
          </x14:formula1>
          <xm:sqref>G15:G16</xm:sqref>
        </x14:dataValidation>
        <x14:dataValidation type="list" allowBlank="1" showInputMessage="1">
          <x14:formula1>
            <xm:f>[6]Parameters!#REF!</xm:f>
          </x14:formula1>
          <xm:sqref>G17:G19</xm:sqref>
        </x14:dataValidation>
        <x14:dataValidation type="list" allowBlank="1" showInputMessage="1">
          <x14:formula1>
            <xm:f>[6]Parameters!#REF!</xm:f>
          </x14:formula1>
          <xm:sqref>J14</xm:sqref>
        </x14:dataValidation>
        <x14:dataValidation type="list" allowBlank="1" showInputMessage="1">
          <x14:formula1>
            <xm:f>[6]Parameters!#REF!</xm:f>
          </x14:formula1>
          <xm:sqref>J11</xm:sqref>
        </x14:dataValidation>
        <x14:dataValidation type="list" allowBlank="1" showInputMessage="1">
          <x14:formula1>
            <xm:f>[6]Parameters!#REF!</xm:f>
          </x14:formula1>
          <xm:sqref>M15</xm:sqref>
        </x14:dataValidation>
        <x14:dataValidation type="list" allowBlank="1" showInputMessage="1">
          <x14:formula1>
            <xm:f>[6]Parameters!#REF!</xm:f>
          </x14:formula1>
          <xm:sqref>M14</xm:sqref>
        </x14:dataValidation>
        <x14:dataValidation type="list" allowBlank="1" showInputMessage="1">
          <x14:formula1>
            <xm:f>[6]Parameters!#REF!</xm:f>
          </x14:formula1>
          <xm:sqref>M12</xm:sqref>
        </x14:dataValidation>
        <x14:dataValidation type="list" allowBlank="1" showInputMessage="1">
          <x14:formula1>
            <xm:f>[6]Parameters!#REF!</xm:f>
          </x14:formula1>
          <xm:sqref>M11</xm:sqref>
        </x14:dataValidation>
        <x14:dataValidation type="list" allowBlank="1" showInputMessage="1">
          <x14:formula1>
            <xm:f>[6]Parameters!#REF!</xm:f>
          </x14:formula1>
          <xm:sqref>M9</xm:sqref>
        </x14:dataValidation>
        <x14:dataValidation type="list" allowBlank="1" showInputMessage="1">
          <x14:formula1>
            <xm:f>[6]Parameters!#REF!</xm:f>
          </x14:formula1>
          <xm:sqref>M8</xm:sqref>
        </x14:dataValidation>
        <x14:dataValidation type="list" allowBlank="1" showInputMessage="1">
          <x14:formula1>
            <xm:f>[6]Parameters!#REF!</xm:f>
          </x14:formula1>
          <xm:sqref>J8</xm:sqref>
        </x14:dataValidation>
        <x14:dataValidation type="list" allowBlank="1" showInputMessage="1">
          <x14:formula1>
            <xm:f>[6]Parameters!#REF!</xm:f>
          </x14:formula1>
          <xm:sqref>K10</xm:sqref>
        </x14:dataValidation>
        <x14:dataValidation type="list" allowBlank="1" showInputMessage="1">
          <x14:formula1>
            <xm:f>[6]Parameters!#REF!</xm:f>
          </x14:formula1>
          <xm:sqref>J7</xm:sqref>
        </x14:dataValidation>
        <x14:dataValidation type="list" allowBlank="1" showInputMessage="1">
          <x14:formula1>
            <xm:f>[6]Parameters!#REF!</xm:f>
          </x14:formula1>
          <xm:sqref>K7</xm:sqref>
        </x14:dataValidation>
        <x14:dataValidation type="list" allowBlank="1" showInputMessage="1">
          <x14:formula1>
            <xm:f>[6]Parameters!#REF!</xm:f>
          </x14:formula1>
          <xm:sqref>J10</xm:sqref>
        </x14:dataValidation>
        <x14:dataValidation type="list" allowBlank="1" showInputMessage="1">
          <x14:formula1>
            <xm:f>[6]Parameters!#REF!</xm:f>
          </x14:formula1>
          <xm:sqref>J17:K17</xm:sqref>
        </x14:dataValidation>
        <x14:dataValidation type="list" allowBlank="1" showInputMessage="1">
          <x14:formula1>
            <xm:f>[6]Parameters!#REF!</xm:f>
          </x14:formula1>
          <xm:sqref>J20:K20</xm:sqref>
        </x14:dataValidation>
        <x14:dataValidation type="list" allowBlank="1" showInputMessage="1">
          <x14:formula1>
            <xm:f>[6]Parameters!#REF!</xm:f>
          </x14:formula1>
          <xm:sqref>D7</xm:sqref>
        </x14:dataValidation>
        <x14:dataValidation type="list" allowBlank="1" showInputMessage="1">
          <x14:formula1>
            <xm:f>[6]Parameters!#REF!</xm:f>
          </x14:formula1>
          <xm:sqref>G20</xm:sqref>
        </x14:dataValidation>
        <x14:dataValidation type="list" allowBlank="1" showInputMessage="1">
          <x14:formula1>
            <xm:f>[6]Parameters!#REF!</xm:f>
          </x14:formula1>
          <xm:sqref>G8</xm:sqref>
        </x14:dataValidation>
        <x14:dataValidation type="list" allowBlank="1" showInputMessage="1">
          <x14:formula1>
            <xm:f>[6]Parameters!#REF!</xm:f>
          </x14:formula1>
          <xm:sqref>G10</xm:sqref>
        </x14:dataValidation>
        <x14:dataValidation type="list" allowBlank="1" showInputMessage="1">
          <x14:formula1>
            <xm:f>[6]Parameters!#REF!</xm:f>
          </x14:formula1>
          <xm:sqref>J18:K19</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O3" zoomScale="150" zoomScaleNormal="150" zoomScalePageLayoutView="150" workbookViewId="0">
      <selection activeCell="G32" sqref="G32"/>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138.29787234042553</v>
      </c>
      <c r="AV4" s="277"/>
      <c r="AW4" s="231"/>
      <c r="AX4" s="413">
        <f t="shared" ref="AX4:AX67" si="0">IF(ISNUMBER(AS5),AU4+AV4,AU4+AV4+AW4*$D$16)</f>
        <v>138.29787234042553</v>
      </c>
      <c r="AY4" s="278">
        <f>IF(ISNUMBER(AS4),LN(AX4+$J$39)-LN($J$39),0)</f>
        <v>0.39453251281787871</v>
      </c>
      <c r="AZ4" s="231">
        <f>IF(ISNUMBER(AS4),AY4/(1+$D$7)^AS4,0)</f>
        <v>0.39453251281787871</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0.21872161655136219</v>
      </c>
      <c r="S5" s="616">
        <f>R5*(1-1/(1+D7)^G17)/(1-1/(1+D7))</f>
        <v>3.9228907666524671</v>
      </c>
      <c r="T5" s="798">
        <f>S5*G11*G7*G9*G20*G8/G39</f>
        <v>0.10254859680460804</v>
      </c>
      <c r="U5" s="798"/>
      <c r="V5" s="799">
        <f>$G$15*$G$10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74.468085106382972</v>
      </c>
      <c r="AU5" s="277"/>
      <c r="AV5" s="277">
        <f t="shared" ref="AV5:AV68" si="2">$D$10*AT5</f>
        <v>8.9361702127659566</v>
      </c>
      <c r="AW5" s="277">
        <f>AT5</f>
        <v>74.468085106382972</v>
      </c>
      <c r="AX5" s="413">
        <f t="shared" si="0"/>
        <v>8.9361702127659566</v>
      </c>
      <c r="AY5" s="278">
        <f t="shared" ref="AY5:AY68" si="3">IF(ISNUMBER(AS5),LN(AX5+$J$39)-LN($J$39),0)</f>
        <v>3.0775384900370462E-2</v>
      </c>
      <c r="AZ5" s="231">
        <f t="shared" ref="AZ5:AZ68" si="4">IF(ISNUMBER(AS5),AY5/(1+$D$7)^AS5,0)</f>
        <v>2.9879014466379087E-2</v>
      </c>
      <c r="BA5" s="231">
        <f>SUM(AZ5:AZ111)</f>
        <v>0.39902343824041131</v>
      </c>
      <c r="BB5" s="232">
        <f>SUM(AZ5:AZ23)</f>
        <v>0.39902343824041131</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2.3417035526688588E-2</v>
      </c>
      <c r="S6" s="616">
        <f>R6*(1-1/(1+D7)^G17)/(1-1/(1+D7))</f>
        <v>0.41999722706167669</v>
      </c>
      <c r="T6" s="798">
        <f>S6*M8*M9*M14*(V39/U39)*G11</f>
        <v>7.0959371506524385E-3</v>
      </c>
      <c r="U6" s="798"/>
      <c r="V6" s="799">
        <v>0</v>
      </c>
      <c r="W6" s="811"/>
      <c r="X6" s="237"/>
      <c r="Y6" s="245"/>
      <c r="Z6" s="357" t="s">
        <v>42</v>
      </c>
      <c r="AA6" s="358"/>
      <c r="AB6" s="359">
        <f>$G$7*$G$8*$G$9*G$20*$J7</f>
        <v>1.0483199999999998E-2</v>
      </c>
      <c r="AC6" s="246"/>
      <c r="AD6" s="628" t="s">
        <v>669</v>
      </c>
      <c r="AE6" s="611">
        <f>M19</f>
        <v>30</v>
      </c>
      <c r="AF6" s="245"/>
      <c r="AG6" s="245"/>
      <c r="AH6" s="245"/>
      <c r="AI6" s="245"/>
      <c r="AJ6" s="245"/>
      <c r="AK6" s="245"/>
      <c r="AL6" s="245"/>
      <c r="AM6" s="245"/>
      <c r="AN6" s="245"/>
      <c r="AO6" s="245"/>
      <c r="AP6" s="245"/>
      <c r="AQ6" s="245"/>
      <c r="AS6" s="231">
        <f t="shared" si="1"/>
        <v>2</v>
      </c>
      <c r="AT6" s="277">
        <f t="shared" ref="AT6:AT69" si="5">IF(ISNUMBER(AS6),AW5,0)</f>
        <v>74.468085106382972</v>
      </c>
      <c r="AU6" s="277"/>
      <c r="AV6" s="277">
        <f t="shared" si="2"/>
        <v>8.9361702127659566</v>
      </c>
      <c r="AW6" s="277">
        <f t="shared" ref="AW6:AW69" si="6">AT6</f>
        <v>74.468085106382972</v>
      </c>
      <c r="AX6" s="413">
        <f t="shared" si="0"/>
        <v>8.9361702127659566</v>
      </c>
      <c r="AY6" s="278">
        <f t="shared" si="3"/>
        <v>3.0775384900370462E-2</v>
      </c>
      <c r="AZ6" s="231">
        <f t="shared" si="4"/>
        <v>2.9008751909105911E-2</v>
      </c>
      <c r="BA6" s="231"/>
    </row>
    <row r="7" spans="1:54" ht="26.1" customHeight="1" x14ac:dyDescent="0.25">
      <c r="A7" s="245"/>
      <c r="B7" s="801" t="s">
        <v>45</v>
      </c>
      <c r="C7" s="299" t="s">
        <v>0</v>
      </c>
      <c r="D7" s="139">
        <v>0.03</v>
      </c>
      <c r="E7" s="233"/>
      <c r="F7" s="319" t="s">
        <v>662</v>
      </c>
      <c r="G7" s="335">
        <v>0.8</v>
      </c>
      <c r="H7" s="235"/>
      <c r="I7" s="319" t="s">
        <v>8</v>
      </c>
      <c r="J7" s="378">
        <v>0.24959999999999999</v>
      </c>
      <c r="K7" s="312"/>
      <c r="L7" s="319" t="s">
        <v>175</v>
      </c>
      <c r="M7" s="322">
        <v>0.1</v>
      </c>
      <c r="N7" s="243"/>
      <c r="O7" s="237"/>
      <c r="P7" s="245"/>
      <c r="Q7" s="246"/>
      <c r="R7" s="237"/>
      <c r="S7" s="237"/>
      <c r="T7" s="237"/>
      <c r="U7" s="316"/>
      <c r="V7" s="237"/>
      <c r="W7" s="243"/>
      <c r="X7" s="237"/>
      <c r="Y7" s="245"/>
      <c r="Z7" s="357" t="s">
        <v>32</v>
      </c>
      <c r="AA7" s="358"/>
      <c r="AB7" s="359">
        <f>$G$7*$G$8*$G$9*G$20*$J8</f>
        <v>8.1437999999999979E-3</v>
      </c>
      <c r="AC7" s="246"/>
      <c r="AD7" s="628" t="s">
        <v>411</v>
      </c>
      <c r="AE7" s="611">
        <f>G10</f>
        <v>3</v>
      </c>
      <c r="AF7" s="245"/>
      <c r="AG7" s="245"/>
      <c r="AH7" s="245"/>
      <c r="AI7" s="245"/>
      <c r="AJ7" s="245"/>
      <c r="AK7" s="245"/>
      <c r="AL7" s="245"/>
      <c r="AM7" s="245"/>
      <c r="AN7" s="245"/>
      <c r="AO7" s="245"/>
      <c r="AP7" s="245"/>
      <c r="AQ7" s="245"/>
      <c r="AS7" s="231">
        <f t="shared" si="1"/>
        <v>3</v>
      </c>
      <c r="AT7" s="277">
        <f>IF(ISNUMBER(AS7),AW6,0)</f>
        <v>74.468085106382972</v>
      </c>
      <c r="AU7" s="277"/>
      <c r="AV7" s="277">
        <f t="shared" si="2"/>
        <v>8.9361702127659566</v>
      </c>
      <c r="AW7" s="277">
        <f t="shared" si="6"/>
        <v>74.468085106382972</v>
      </c>
      <c r="AX7" s="413">
        <f t="shared" si="0"/>
        <v>8.9361702127659566</v>
      </c>
      <c r="AY7" s="278">
        <f t="shared" si="3"/>
        <v>3.0775384900370462E-2</v>
      </c>
      <c r="AZ7" s="231">
        <f t="shared" si="4"/>
        <v>2.8163836804957196E-2</v>
      </c>
      <c r="BA7" s="231"/>
    </row>
    <row r="8" spans="1:54" ht="24.95" customHeight="1" thickBot="1" x14ac:dyDescent="0.3">
      <c r="A8" s="245"/>
      <c r="B8" s="801"/>
      <c r="C8" s="293"/>
      <c r="D8" s="293"/>
      <c r="E8" s="272"/>
      <c r="F8" s="321" t="s">
        <v>6</v>
      </c>
      <c r="G8" s="244">
        <v>0.3</v>
      </c>
      <c r="H8" s="236"/>
      <c r="I8" s="612" t="s">
        <v>9</v>
      </c>
      <c r="J8" s="376">
        <v>0.19389999999999999</v>
      </c>
      <c r="K8" s="313"/>
      <c r="L8" s="612" t="s">
        <v>169</v>
      </c>
      <c r="M8" s="613">
        <v>0.7</v>
      </c>
      <c r="N8" s="243"/>
      <c r="O8" s="237"/>
      <c r="P8" s="245"/>
      <c r="Q8" s="802" t="s">
        <v>191</v>
      </c>
      <c r="R8" s="237"/>
      <c r="S8" s="618" t="s">
        <v>306</v>
      </c>
      <c r="T8" s="803" t="s">
        <v>34</v>
      </c>
      <c r="U8" s="803"/>
      <c r="V8" s="803" t="s">
        <v>152</v>
      </c>
      <c r="W8" s="804"/>
      <c r="X8" s="237"/>
      <c r="Y8" s="245"/>
      <c r="Z8" s="357" t="s">
        <v>38</v>
      </c>
      <c r="AA8" s="358"/>
      <c r="AB8" s="359">
        <f>$G$7*$G$8*$G$9*G$20</f>
        <v>4.1999999999999996E-2</v>
      </c>
      <c r="AC8" s="371"/>
      <c r="AD8" s="372" t="s">
        <v>668</v>
      </c>
      <c r="AE8" s="373">
        <f>(AE7*M19)/S5</f>
        <v>22.942265118638517</v>
      </c>
      <c r="AF8" s="245"/>
      <c r="AG8" s="245"/>
      <c r="AH8" s="245"/>
      <c r="AI8" s="245"/>
      <c r="AJ8" s="245"/>
      <c r="AK8" s="245"/>
      <c r="AL8" s="245"/>
      <c r="AM8" s="245"/>
      <c r="AN8" s="245"/>
      <c r="AO8" s="245"/>
      <c r="AP8" s="245"/>
      <c r="AQ8" s="245"/>
      <c r="AS8" s="231">
        <f t="shared" si="1"/>
        <v>4</v>
      </c>
      <c r="AT8" s="277">
        <f t="shared" si="5"/>
        <v>74.468085106382972</v>
      </c>
      <c r="AU8" s="277"/>
      <c r="AV8" s="277">
        <f t="shared" si="2"/>
        <v>8.9361702127659566</v>
      </c>
      <c r="AW8" s="277">
        <f t="shared" si="6"/>
        <v>74.468085106382972</v>
      </c>
      <c r="AX8" s="413">
        <f t="shared" si="0"/>
        <v>8.9361702127659566</v>
      </c>
      <c r="AY8" s="278">
        <f t="shared" si="3"/>
        <v>3.0775384900370462E-2</v>
      </c>
      <c r="AZ8" s="231">
        <f t="shared" si="4"/>
        <v>2.7343530878599222E-2</v>
      </c>
      <c r="BA8" s="231"/>
    </row>
    <row r="9" spans="1:54" ht="33.75" x14ac:dyDescent="0.25">
      <c r="A9" s="245"/>
      <c r="B9" s="801"/>
      <c r="C9" s="805" t="s">
        <v>14</v>
      </c>
      <c r="D9" s="805"/>
      <c r="E9" s="233"/>
      <c r="F9" s="612" t="s">
        <v>146</v>
      </c>
      <c r="G9" s="613">
        <v>0.7</v>
      </c>
      <c r="H9" s="236"/>
      <c r="I9" s="612" t="s">
        <v>164</v>
      </c>
      <c r="J9" s="376">
        <v>1</v>
      </c>
      <c r="K9" s="313"/>
      <c r="L9" s="612" t="s">
        <v>170</v>
      </c>
      <c r="M9" s="613">
        <v>0.7</v>
      </c>
      <c r="N9" s="243"/>
      <c r="O9" s="237"/>
      <c r="P9" s="245"/>
      <c r="Q9" s="802"/>
      <c r="R9" s="620" t="s">
        <v>44</v>
      </c>
      <c r="S9" s="619">
        <f>J11*($T$5*AB14*J14*J7+$V$5*J7)</f>
        <v>2.0724265316239228E-2</v>
      </c>
      <c r="T9" s="806">
        <f>S9/(J17/J9)</f>
        <v>2.9606093308913183E-2</v>
      </c>
      <c r="U9" s="806"/>
      <c r="V9" s="807">
        <f>($G$10*$M$19)/T9</f>
        <v>3039.9147587940852</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74.468085106382972</v>
      </c>
      <c r="AU9" s="277"/>
      <c r="AV9" s="277">
        <f t="shared" si="2"/>
        <v>8.9361702127659566</v>
      </c>
      <c r="AW9" s="277">
        <f t="shared" si="6"/>
        <v>74.468085106382972</v>
      </c>
      <c r="AX9" s="413">
        <f t="shared" si="0"/>
        <v>8.9361702127659566</v>
      </c>
      <c r="AY9" s="278">
        <f t="shared" si="3"/>
        <v>3.0775384900370462E-2</v>
      </c>
      <c r="AZ9" s="231">
        <f t="shared" si="4"/>
        <v>2.6547117357863324E-2</v>
      </c>
      <c r="BA9" s="231"/>
    </row>
    <row r="10" spans="1:54" ht="39.75" customHeight="1" x14ac:dyDescent="0.25">
      <c r="A10" s="245"/>
      <c r="B10" s="801"/>
      <c r="C10" s="290" t="s">
        <v>3</v>
      </c>
      <c r="D10" s="291">
        <v>0.12</v>
      </c>
      <c r="E10" s="283"/>
      <c r="F10" s="612" t="s">
        <v>323</v>
      </c>
      <c r="G10" s="466">
        <v>3</v>
      </c>
      <c r="H10" s="284"/>
      <c r="I10" s="612" t="s">
        <v>165</v>
      </c>
      <c r="J10" s="376">
        <v>1</v>
      </c>
      <c r="K10" s="313"/>
      <c r="L10" s="612" t="s">
        <v>184</v>
      </c>
      <c r="M10" s="613">
        <v>1</v>
      </c>
      <c r="N10" s="243"/>
      <c r="O10" s="237"/>
      <c r="P10" s="245"/>
      <c r="Q10" s="802"/>
      <c r="R10" s="620" t="s">
        <v>496</v>
      </c>
      <c r="S10" s="619">
        <f>J20*($T$5*AB15*J15*J8+$V$5*J8)</f>
        <v>1.4568418063408556E-2</v>
      </c>
      <c r="T10" s="806">
        <f>S10/(J18/J10)</f>
        <v>2.0812025804869367E-2</v>
      </c>
      <c r="U10" s="806"/>
      <c r="V10" s="807">
        <f>($G$10*$M$19)/T10</f>
        <v>4324.4228526250818</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74.468085106382972</v>
      </c>
      <c r="AU10" s="277"/>
      <c r="AV10" s="277">
        <f t="shared" si="2"/>
        <v>8.9361702127659566</v>
      </c>
      <c r="AW10" s="277">
        <f t="shared" si="6"/>
        <v>74.468085106382972</v>
      </c>
      <c r="AX10" s="413">
        <f t="shared" si="0"/>
        <v>8.9361702127659566</v>
      </c>
      <c r="AY10" s="278">
        <f t="shared" si="3"/>
        <v>3.0775384900370462E-2</v>
      </c>
      <c r="AZ10" s="231">
        <f t="shared" si="4"/>
        <v>2.5773900347440117E-2</v>
      </c>
      <c r="BA10" s="231"/>
      <c r="BB10" s="498"/>
    </row>
    <row r="11" spans="1:54" ht="33" customHeight="1" x14ac:dyDescent="0.25">
      <c r="A11" s="245"/>
      <c r="B11" s="801"/>
      <c r="C11" s="296" t="s">
        <v>5</v>
      </c>
      <c r="D11" s="297">
        <v>0.35</v>
      </c>
      <c r="E11" s="234"/>
      <c r="F11" s="612" t="s">
        <v>301</v>
      </c>
      <c r="G11" s="466">
        <v>1.5</v>
      </c>
      <c r="H11" s="237"/>
      <c r="I11" s="612" t="s">
        <v>322</v>
      </c>
      <c r="J11" s="376">
        <v>0.77</v>
      </c>
      <c r="K11" s="313"/>
      <c r="L11" s="612" t="s">
        <v>183</v>
      </c>
      <c r="M11" s="613">
        <v>0.8</v>
      </c>
      <c r="N11" s="243"/>
      <c r="O11" s="245"/>
      <c r="P11" s="245"/>
      <c r="Q11" s="802"/>
      <c r="R11" s="620" t="s">
        <v>38</v>
      </c>
      <c r="S11" s="619" t="s">
        <v>408</v>
      </c>
      <c r="T11" s="806">
        <f>M18*((1/S39)*(1/M20)*T5*AB16+(1/R39)*M19*G10)</f>
        <v>3.3493994792922262E-2</v>
      </c>
      <c r="U11" s="806">
        <f>(1/S39)*(1/M20)*T5+1/R39*(G10*S5)</f>
        <v>1.9037262188026465E-2</v>
      </c>
      <c r="V11" s="807">
        <f>($G$10*$M$19)/T11</f>
        <v>2687.0488443205418</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74.468085106382972</v>
      </c>
      <c r="AU11" s="277"/>
      <c r="AV11" s="277">
        <f t="shared" si="2"/>
        <v>8.9361702127659566</v>
      </c>
      <c r="AW11" s="277">
        <f t="shared" si="6"/>
        <v>74.468085106382972</v>
      </c>
      <c r="AX11" s="413">
        <f t="shared" si="0"/>
        <v>8.9361702127659566</v>
      </c>
      <c r="AY11" s="278">
        <f t="shared" si="3"/>
        <v>3.0775384900370462E-2</v>
      </c>
      <c r="AZ11" s="231">
        <f t="shared" si="4"/>
        <v>2.5023204220815647E-2</v>
      </c>
      <c r="BA11" s="231"/>
    </row>
    <row r="12" spans="1:54" ht="22.7" customHeight="1" x14ac:dyDescent="0.25">
      <c r="A12" s="245"/>
      <c r="B12" s="246"/>
      <c r="C12" s="240"/>
      <c r="D12" s="239"/>
      <c r="E12" s="233"/>
      <c r="F12" s="240"/>
      <c r="G12" s="377"/>
      <c r="H12" s="240"/>
      <c r="I12" s="240"/>
      <c r="J12" s="377"/>
      <c r="K12" s="237"/>
      <c r="L12" s="822" t="s">
        <v>176</v>
      </c>
      <c r="M12" s="824">
        <v>0.25</v>
      </c>
      <c r="N12" s="243"/>
      <c r="O12" s="237"/>
      <c r="P12" s="245"/>
      <c r="Q12" s="292"/>
      <c r="R12" s="826" t="s">
        <v>174</v>
      </c>
      <c r="S12" s="828">
        <f>T6</f>
        <v>7.0959371506524385E-3</v>
      </c>
      <c r="T12" s="806">
        <f>M12*S12/(M7/M10)</f>
        <v>1.7739842876631096E-2</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74.468085106382972</v>
      </c>
      <c r="AU12" s="277"/>
      <c r="AV12" s="277">
        <f t="shared" si="2"/>
        <v>8.9361702127659566</v>
      </c>
      <c r="AW12" s="277">
        <f t="shared" si="6"/>
        <v>74.468085106382972</v>
      </c>
      <c r="AX12" s="413">
        <f t="shared" si="0"/>
        <v>8.9361702127659566</v>
      </c>
      <c r="AY12" s="278">
        <f t="shared" si="3"/>
        <v>3.0775384900370462E-2</v>
      </c>
      <c r="AZ12" s="231">
        <f t="shared" si="4"/>
        <v>2.4294373029918107E-2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74.468085106382972</v>
      </c>
      <c r="AU13" s="277"/>
      <c r="AV13" s="277">
        <f t="shared" si="2"/>
        <v>8.9361702127659566</v>
      </c>
      <c r="AW13" s="277">
        <f t="shared" si="6"/>
        <v>74.468085106382972</v>
      </c>
      <c r="AX13" s="413">
        <f t="shared" si="0"/>
        <v>8.9361702127659566</v>
      </c>
      <c r="AY13" s="278">
        <f t="shared" si="3"/>
        <v>3.0775384900370462E-2</v>
      </c>
      <c r="AZ13" s="231">
        <f t="shared" si="4"/>
        <v>2.3586769931959326E-2</v>
      </c>
      <c r="BA13" s="231"/>
    </row>
    <row r="14" spans="1:54" ht="35.1" customHeight="1" x14ac:dyDescent="0.25">
      <c r="A14" s="245"/>
      <c r="B14" s="892" t="s">
        <v>214</v>
      </c>
      <c r="C14" s="836" t="s">
        <v>1</v>
      </c>
      <c r="D14" s="838">
        <v>15</v>
      </c>
      <c r="E14" s="233"/>
      <c r="F14" s="622" t="s">
        <v>560</v>
      </c>
      <c r="G14" s="528">
        <v>7</v>
      </c>
      <c r="H14" s="237"/>
      <c r="I14" s="614" t="s">
        <v>11</v>
      </c>
      <c r="J14" s="379">
        <v>1</v>
      </c>
      <c r="K14" s="237"/>
      <c r="L14" s="612" t="s">
        <v>178</v>
      </c>
      <c r="M14" s="613">
        <v>0.8</v>
      </c>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74.468085106382972</v>
      </c>
      <c r="AU14" s="277"/>
      <c r="AV14" s="277">
        <f t="shared" si="2"/>
        <v>8.9361702127659566</v>
      </c>
      <c r="AW14" s="277">
        <f t="shared" si="6"/>
        <v>74.468085106382972</v>
      </c>
      <c r="AX14" s="413">
        <f t="shared" si="0"/>
        <v>8.9361702127659566</v>
      </c>
      <c r="AY14" s="278">
        <f t="shared" si="3"/>
        <v>3.0775384900370462E-2</v>
      </c>
      <c r="AZ14" s="231">
        <f t="shared" si="4"/>
        <v>2.2899776632970218E-2</v>
      </c>
      <c r="BA14" s="231"/>
    </row>
    <row r="15" spans="1:54" ht="21" customHeight="1" thickBot="1" x14ac:dyDescent="0.3">
      <c r="A15" s="245"/>
      <c r="B15" s="892"/>
      <c r="C15" s="837"/>
      <c r="D15" s="839"/>
      <c r="E15" s="234"/>
      <c r="F15" s="836" t="s">
        <v>2</v>
      </c>
      <c r="G15" s="917">
        <v>1.7608179999999999E-3</v>
      </c>
      <c r="H15" s="237"/>
      <c r="I15" s="818" t="s">
        <v>10</v>
      </c>
      <c r="J15" s="820">
        <v>0.9</v>
      </c>
      <c r="K15" s="314"/>
      <c r="L15" s="320" t="s">
        <v>181</v>
      </c>
      <c r="M15" s="334">
        <v>3.5999999999999997E-2</v>
      </c>
      <c r="N15" s="243"/>
      <c r="O15" s="237"/>
      <c r="P15" s="245"/>
      <c r="Q15" s="802"/>
      <c r="R15" s="624">
        <f>BA5</f>
        <v>0.39902343824041131</v>
      </c>
      <c r="S15" s="624">
        <f>AZ4</f>
        <v>0.39453251281787871</v>
      </c>
      <c r="T15" s="835">
        <f>R15+S15</f>
        <v>0.79355595105829002</v>
      </c>
      <c r="U15" s="835"/>
      <c r="V15" s="806">
        <f>T15/(Josh!Q39/Josh!D19)</f>
        <v>3.0882023391384417E-3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74.468085106382972</v>
      </c>
      <c r="AU15" s="277"/>
      <c r="AV15" s="277">
        <f t="shared" si="2"/>
        <v>8.9361702127659566</v>
      </c>
      <c r="AW15" s="277">
        <f t="shared" si="6"/>
        <v>74.468085106382972</v>
      </c>
      <c r="AX15" s="413">
        <f t="shared" si="0"/>
        <v>8.9361702127659566</v>
      </c>
      <c r="AY15" s="278">
        <f t="shared" si="3"/>
        <v>3.0775384900370462E-2</v>
      </c>
      <c r="AZ15" s="231">
        <f t="shared" si="4"/>
        <v>2.2232792847543901E-2</v>
      </c>
      <c r="BA15" s="231"/>
    </row>
    <row r="16" spans="1:54" ht="21" customHeight="1" thickBot="1" x14ac:dyDescent="0.3">
      <c r="A16" s="245"/>
      <c r="B16" s="892"/>
      <c r="C16" s="841" t="s">
        <v>507</v>
      </c>
      <c r="D16" s="842">
        <v>0.2</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74.468085106382972</v>
      </c>
      <c r="AU16" s="277"/>
      <c r="AV16" s="277">
        <f t="shared" si="2"/>
        <v>8.9361702127659566</v>
      </c>
      <c r="AW16" s="277">
        <f t="shared" si="6"/>
        <v>74.468085106382972</v>
      </c>
      <c r="AX16" s="413">
        <f t="shared" si="0"/>
        <v>8.9361702127659566</v>
      </c>
      <c r="AY16" s="278">
        <f t="shared" si="3"/>
        <v>3.0775384900370462E-2</v>
      </c>
      <c r="AZ16" s="231">
        <f t="shared" si="4"/>
        <v>2.1585235774314471E-2</v>
      </c>
      <c r="BA16" s="231"/>
    </row>
    <row r="17" spans="1:54" ht="21" customHeight="1" x14ac:dyDescent="0.25">
      <c r="A17" s="245"/>
      <c r="B17" s="892"/>
      <c r="C17" s="836"/>
      <c r="D17" s="843"/>
      <c r="E17" s="234"/>
      <c r="F17" s="841" t="s">
        <v>216</v>
      </c>
      <c r="G17" s="916">
        <v>25</v>
      </c>
      <c r="H17" s="237"/>
      <c r="I17" s="294" t="s">
        <v>28</v>
      </c>
      <c r="J17" s="381">
        <v>0.7</v>
      </c>
      <c r="K17" s="315"/>
      <c r="L17" s="850" t="s">
        <v>38</v>
      </c>
      <c r="M17" s="850"/>
      <c r="N17" s="243"/>
      <c r="O17" s="237"/>
      <c r="P17" s="245"/>
      <c r="Q17" s="617"/>
      <c r="R17" s="410" t="s">
        <v>414</v>
      </c>
      <c r="S17" s="453">
        <f>$T9/$T$9</f>
        <v>1</v>
      </c>
      <c r="T17" s="851">
        <f>$T9/$T$10</f>
        <v>1.4225474053557188</v>
      </c>
      <c r="U17" s="852"/>
      <c r="V17" s="453">
        <f>$T9/$T$11</f>
        <v>0.8839224312284587</v>
      </c>
      <c r="W17" s="454">
        <f>$T9/$V$15</f>
        <v>9.5868372786651026</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74.468085106382972</v>
      </c>
      <c r="AU17" s="277"/>
      <c r="AV17" s="277">
        <f t="shared" si="2"/>
        <v>8.9361702127659566</v>
      </c>
      <c r="AW17" s="277">
        <f t="shared" si="6"/>
        <v>74.468085106382972</v>
      </c>
      <c r="AX17" s="413">
        <f t="shared" si="0"/>
        <v>8.9361702127659566</v>
      </c>
      <c r="AY17" s="278">
        <f t="shared" si="3"/>
        <v>3.0775384900370462E-2</v>
      </c>
      <c r="AZ17" s="231">
        <f t="shared" si="4"/>
        <v>2.0956539586713081E-2</v>
      </c>
      <c r="BA17" s="231"/>
    </row>
    <row r="18" spans="1:54" ht="18" customHeight="1" x14ac:dyDescent="0.25">
      <c r="A18" s="245"/>
      <c r="B18" s="892"/>
      <c r="C18" s="837"/>
      <c r="D18" s="844"/>
      <c r="E18" s="234"/>
      <c r="F18" s="836"/>
      <c r="G18" s="848"/>
      <c r="H18" s="237"/>
      <c r="I18" s="853" t="s">
        <v>7</v>
      </c>
      <c r="J18" s="882">
        <v>0.7</v>
      </c>
      <c r="K18" s="315"/>
      <c r="L18" s="612" t="s">
        <v>519</v>
      </c>
      <c r="M18" s="137">
        <v>0.85</v>
      </c>
      <c r="N18" s="243"/>
      <c r="O18" s="237"/>
      <c r="P18" s="245"/>
      <c r="Q18" s="617"/>
      <c r="R18" s="884" t="s">
        <v>415</v>
      </c>
      <c r="S18" s="885">
        <f>$T10/$T$9</f>
        <v>0.70296427116250826</v>
      </c>
      <c r="T18" s="858">
        <f>$T10/$T$10</f>
        <v>1</v>
      </c>
      <c r="U18" s="859"/>
      <c r="V18" s="885">
        <f>$T10/$T$11</f>
        <v>0.62136588763270584</v>
      </c>
      <c r="W18" s="890">
        <f>$T10/$V$15</f>
        <v>6.7392040803503779</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74.468085106382972</v>
      </c>
      <c r="AU18" s="277"/>
      <c r="AV18" s="277">
        <f t="shared" si="2"/>
        <v>8.9361702127659566</v>
      </c>
      <c r="AW18" s="277">
        <f t="shared" si="6"/>
        <v>74.468085106382972</v>
      </c>
      <c r="AX18" s="413">
        <f t="shared" si="0"/>
        <v>8.9361702127659566</v>
      </c>
      <c r="AY18" s="278">
        <f t="shared" si="3"/>
        <v>3.0775384900370462E-2</v>
      </c>
      <c r="AZ18" s="231">
        <f t="shared" si="4"/>
        <v>2.0346154938556387E-2</v>
      </c>
      <c r="BA18" s="231"/>
    </row>
    <row r="19" spans="1:54" ht="24" customHeight="1" x14ac:dyDescent="0.25">
      <c r="A19" s="245"/>
      <c r="B19" s="892"/>
      <c r="C19" s="836" t="s">
        <v>19</v>
      </c>
      <c r="D19" s="856">
        <v>0.82799999999999996</v>
      </c>
      <c r="E19" s="234"/>
      <c r="F19" s="837"/>
      <c r="G19" s="849"/>
      <c r="H19" s="237"/>
      <c r="I19" s="854"/>
      <c r="J19" s="883"/>
      <c r="K19" s="315"/>
      <c r="L19" s="612" t="s">
        <v>520</v>
      </c>
      <c r="M19" s="506">
        <v>30</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74.468085106382972</v>
      </c>
      <c r="AU19" s="277"/>
      <c r="AV19" s="277">
        <f t="shared" si="2"/>
        <v>8.9361702127659566</v>
      </c>
      <c r="AW19" s="277">
        <f t="shared" si="6"/>
        <v>74.468085106382972</v>
      </c>
      <c r="AX19" s="413">
        <f t="shared" si="0"/>
        <v>23.829787234042552</v>
      </c>
      <c r="AY19" s="278">
        <f t="shared" si="3"/>
        <v>8.0052166547142534E-2</v>
      </c>
      <c r="AZ19" s="231">
        <f t="shared" si="4"/>
        <v>5.1382439513275285E-2</v>
      </c>
      <c r="BA19" s="231"/>
    </row>
    <row r="20" spans="1:54" ht="35.1" customHeight="1" x14ac:dyDescent="0.25">
      <c r="A20" s="245"/>
      <c r="B20" s="892"/>
      <c r="C20" s="855"/>
      <c r="D20" s="857"/>
      <c r="E20" s="234"/>
      <c r="F20" s="308" t="s">
        <v>199</v>
      </c>
      <c r="G20" s="306">
        <v>0.25</v>
      </c>
      <c r="H20" s="237"/>
      <c r="I20" s="305" t="s">
        <v>321</v>
      </c>
      <c r="J20" s="304">
        <v>0.77</v>
      </c>
      <c r="K20" s="314"/>
      <c r="L20" s="320" t="s">
        <v>433</v>
      </c>
      <c r="M20" s="137">
        <v>1.5</v>
      </c>
      <c r="N20" s="243"/>
      <c r="O20" s="237"/>
      <c r="P20" s="237"/>
      <c r="Q20" s="617"/>
      <c r="R20" s="410" t="s">
        <v>416</v>
      </c>
      <c r="S20" s="453">
        <f>$T11/$T$9</f>
        <v>1.1313209900219625</v>
      </c>
      <c r="T20" s="851">
        <f>$T11/$T$10</f>
        <v>1.6093577389802058</v>
      </c>
      <c r="U20" s="852"/>
      <c r="V20" s="453">
        <f>$T11/$T$11</f>
        <v>1</v>
      </c>
      <c r="W20" s="454">
        <f>$T11/$V$15</f>
        <v>10.845790241278861</v>
      </c>
      <c r="X20" s="237"/>
      <c r="Y20" s="245"/>
      <c r="Z20" s="245"/>
      <c r="AA20" s="245"/>
      <c r="AB20" s="245"/>
      <c r="AC20" s="245"/>
      <c r="AD20" s="245"/>
      <c r="AE20" s="245"/>
      <c r="AF20" s="245"/>
      <c r="AG20" s="245"/>
      <c r="AH20" s="245"/>
      <c r="AI20" s="245"/>
      <c r="AJ20" s="245"/>
      <c r="AK20" s="245"/>
      <c r="AL20" s="245"/>
      <c r="AM20" s="245"/>
      <c r="AN20" s="245"/>
      <c r="AO20" s="245"/>
      <c r="AP20" s="245"/>
      <c r="AQ20" s="245"/>
      <c r="AS20" s="231" t="str">
        <f t="shared" si="1"/>
        <v/>
      </c>
      <c r="AT20" s="277">
        <f t="shared" si="5"/>
        <v>0</v>
      </c>
      <c r="AU20" s="277"/>
      <c r="AV20" s="277">
        <f t="shared" si="2"/>
        <v>0</v>
      </c>
      <c r="AW20" s="277">
        <f t="shared" si="6"/>
        <v>0</v>
      </c>
      <c r="AX20" s="413">
        <f t="shared" si="0"/>
        <v>0</v>
      </c>
      <c r="AY20" s="278">
        <f t="shared" si="3"/>
        <v>0</v>
      </c>
      <c r="AZ20" s="231">
        <f t="shared" si="4"/>
        <v>0</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0.10430968743210406</v>
      </c>
      <c r="T21" s="862">
        <f>$V15/$T$10</f>
        <v>0.14838547521000567</v>
      </c>
      <c r="U21" s="863"/>
      <c r="V21" s="455">
        <f>$V15/$T$11</f>
        <v>9.2201672515666036E-2</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t="str">
        <f t="shared" si="1"/>
        <v/>
      </c>
      <c r="AT21" s="277">
        <f t="shared" si="5"/>
        <v>0</v>
      </c>
      <c r="AU21" s="277"/>
      <c r="AV21" s="277">
        <f t="shared" si="2"/>
        <v>0</v>
      </c>
      <c r="AW21" s="277">
        <f t="shared" si="6"/>
        <v>0</v>
      </c>
      <c r="AX21" s="413">
        <f t="shared" si="0"/>
        <v>0</v>
      </c>
      <c r="AY21" s="278">
        <f t="shared" si="3"/>
        <v>0</v>
      </c>
      <c r="AZ21" s="231">
        <f t="shared" si="4"/>
        <v>0</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t="str">
        <f t="shared" si="1"/>
        <v/>
      </c>
      <c r="AT22" s="277">
        <f t="shared" si="5"/>
        <v>0</v>
      </c>
      <c r="AU22" s="277"/>
      <c r="AV22" s="277">
        <f t="shared" si="2"/>
        <v>0</v>
      </c>
      <c r="AW22" s="277">
        <f t="shared" si="6"/>
        <v>0</v>
      </c>
      <c r="AX22" s="413">
        <f t="shared" si="0"/>
        <v>0</v>
      </c>
      <c r="AY22" s="278">
        <f t="shared" si="3"/>
        <v>0</v>
      </c>
      <c r="AZ22" s="231">
        <f t="shared" si="4"/>
        <v>0</v>
      </c>
      <c r="BA22" s="231"/>
    </row>
    <row r="23" spans="1:54" ht="10.5" customHeight="1" x14ac:dyDescent="0.25">
      <c r="A23" s="245"/>
      <c r="B23" s="245"/>
      <c r="C23" s="245"/>
      <c r="D23" s="245"/>
      <c r="E23" s="237"/>
      <c r="F23" s="864" t="s">
        <v>34</v>
      </c>
      <c r="G23" s="256" t="s">
        <v>33</v>
      </c>
      <c r="H23" s="257"/>
      <c r="I23" s="450">
        <f>T9</f>
        <v>2.9606093308913183E-2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t="str">
        <f t="shared" si="1"/>
        <v/>
      </c>
      <c r="AT23" s="277">
        <f t="shared" si="5"/>
        <v>0</v>
      </c>
      <c r="AU23" s="277"/>
      <c r="AV23" s="277">
        <f t="shared" si="2"/>
        <v>0</v>
      </c>
      <c r="AW23" s="277">
        <f t="shared" si="6"/>
        <v>0</v>
      </c>
      <c r="AX23" s="413">
        <f t="shared" si="0"/>
        <v>0</v>
      </c>
      <c r="AY23" s="278">
        <f t="shared" si="3"/>
        <v>0</v>
      </c>
      <c r="AZ23" s="231">
        <f t="shared" si="4"/>
        <v>0</v>
      </c>
      <c r="BA23" s="231"/>
    </row>
    <row r="24" spans="1:54" ht="12" customHeight="1" thickBot="1" x14ac:dyDescent="0.3">
      <c r="A24" s="245"/>
      <c r="B24" s="245"/>
      <c r="C24" s="245"/>
      <c r="D24" s="245"/>
      <c r="E24" s="237"/>
      <c r="F24" s="865"/>
      <c r="G24" s="260" t="s">
        <v>32</v>
      </c>
      <c r="H24" s="261"/>
      <c r="I24" s="451">
        <f>T10</f>
        <v>2.0812025804869367E-2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t="str">
        <f t="shared" si="1"/>
        <v/>
      </c>
      <c r="AT24" s="277">
        <f t="shared" si="5"/>
        <v>0</v>
      </c>
      <c r="AU24" s="277"/>
      <c r="AV24" s="277">
        <f t="shared" si="2"/>
        <v>0</v>
      </c>
      <c r="AW24" s="277">
        <f t="shared" si="6"/>
        <v>0</v>
      </c>
      <c r="AX24" s="413">
        <f t="shared" si="0"/>
        <v>0</v>
      </c>
      <c r="AY24" s="278">
        <f t="shared" si="3"/>
        <v>0</v>
      </c>
      <c r="AZ24" s="231">
        <f t="shared" si="4"/>
        <v>0</v>
      </c>
      <c r="BA24" s="231"/>
    </row>
    <row r="25" spans="1:54" ht="10.7" customHeight="1" x14ac:dyDescent="0.25">
      <c r="A25" s="245"/>
      <c r="B25" s="792" t="s">
        <v>188</v>
      </c>
      <c r="C25" s="878"/>
      <c r="D25" s="878"/>
      <c r="E25" s="878"/>
      <c r="F25" s="865"/>
      <c r="G25" s="260" t="s">
        <v>168</v>
      </c>
      <c r="H25" s="261"/>
      <c r="I25" s="451">
        <f>T12</f>
        <v>1.7739842876631096E-2</v>
      </c>
      <c r="J25" s="262"/>
      <c r="K25" s="263"/>
      <c r="L25" s="262"/>
      <c r="M25" s="262"/>
      <c r="N25" s="262"/>
      <c r="O25" s="262"/>
      <c r="P25" s="237"/>
      <c r="Q25" s="866"/>
      <c r="R25" s="344" t="s">
        <v>38</v>
      </c>
      <c r="S25" s="457">
        <f>(R39/S39)*T5</f>
        <v>92.030177646378377</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3.0882023391384417E-3</v>
      </c>
      <c r="J26" s="262"/>
      <c r="K26" s="263"/>
      <c r="L26" s="262"/>
      <c r="M26" s="262"/>
      <c r="N26" s="262"/>
      <c r="O26" s="262"/>
      <c r="P26" s="237"/>
      <c r="Q26" s="866"/>
      <c r="R26" s="344" t="s">
        <v>42</v>
      </c>
      <c r="S26" s="457">
        <f>T9*$R$39</f>
        <v>113.71700439953554</v>
      </c>
      <c r="T26" s="458"/>
      <c r="U26" s="459" t="s">
        <v>42</v>
      </c>
      <c r="V26" s="459"/>
      <c r="W26" s="460">
        <f>S26/S$25</f>
        <v>1.235649080636221</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0.88298587894087011</v>
      </c>
      <c r="J27" s="262"/>
      <c r="K27" s="263"/>
      <c r="L27" s="262"/>
      <c r="M27" s="262"/>
      <c r="N27" s="262"/>
      <c r="O27" s="262"/>
      <c r="P27" s="237"/>
      <c r="Q27" s="867"/>
      <c r="R27" s="344" t="s">
        <v>32</v>
      </c>
      <c r="S27" s="457">
        <f>T10*$R$39</f>
        <v>79.938991116503232</v>
      </c>
      <c r="T27" s="458"/>
      <c r="U27" s="459" t="s">
        <v>32</v>
      </c>
      <c r="V27" s="459"/>
      <c r="W27" s="460">
        <f>S27/S$25</f>
        <v>0.8686171553820643</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f>T12*$R$39</f>
        <v>68.138736489140044</v>
      </c>
      <c r="T28" s="458"/>
      <c r="U28" s="459" t="s">
        <v>168</v>
      </c>
      <c r="V28" s="459"/>
      <c r="W28" s="460">
        <f>S28/S$25</f>
        <v>0.74039557710037163</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9.5868372786651026</v>
      </c>
      <c r="H29" s="268" t="s">
        <v>40</v>
      </c>
      <c r="I29" s="265"/>
      <c r="J29" s="265"/>
      <c r="K29" s="269"/>
      <c r="L29" s="237"/>
      <c r="M29" s="237"/>
      <c r="N29" s="237"/>
      <c r="O29" s="262"/>
      <c r="P29" s="237"/>
      <c r="R29" s="344" t="s">
        <v>14</v>
      </c>
      <c r="S29" s="457">
        <f>V15*$R$39</f>
        <v>11.861785184630754</v>
      </c>
      <c r="T29" s="458"/>
      <c r="U29" s="459" t="s">
        <v>14</v>
      </c>
      <c r="V29" s="459"/>
      <c r="W29" s="460">
        <f>S29/S$25</f>
        <v>0.12889016937693096</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6.7392040803503779</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f>IFERROR(I25/I$26,"-")</f>
        <v>5.7443913735199823</v>
      </c>
      <c r="H31" s="268" t="s">
        <v>40</v>
      </c>
      <c r="I31" s="265"/>
      <c r="J31" s="265"/>
      <c r="K31" s="269"/>
      <c r="L31" s="237"/>
      <c r="M31" s="237"/>
      <c r="N31" s="237"/>
      <c r="O31" s="262"/>
      <c r="P31" s="237"/>
      <c r="Q31" s="341"/>
      <c r="R31" s="343" t="s">
        <v>42</v>
      </c>
      <c r="S31" s="457">
        <f>IFERROR(IF(S26-S$25&gt;0,S26-S$25,"N/A"),"N/A")</f>
        <v>21.686826753157163</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3039.9147587940852</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4324.4228526250818</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2687.0488443205418</v>
      </c>
      <c r="J35" s="237"/>
      <c r="K35" s="243"/>
      <c r="L35" s="237"/>
      <c r="M35" s="237"/>
      <c r="N35" s="237"/>
      <c r="O35" s="237"/>
      <c r="P35" s="245"/>
      <c r="Q35" s="285"/>
      <c r="R35" s="898" t="s">
        <v>523</v>
      </c>
      <c r="S35" s="899"/>
      <c r="T35" s="899"/>
      <c r="U35" s="899"/>
      <c r="V35" s="899"/>
      <c r="W35" s="465">
        <f>$G$10*M19</f>
        <v>90</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v>3841</v>
      </c>
      <c r="S39" s="281">
        <v>4.28</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[4]Parameters!#REF!</xm:f>
          </x14:formula1>
          <xm:sqref>M7</xm:sqref>
        </x14:dataValidation>
        <x14:dataValidation type="list" allowBlank="1" showInputMessage="1">
          <x14:formula1>
            <xm:f>[4]Parameters!#REF!</xm:f>
          </x14:formula1>
          <xm:sqref>M10</xm:sqref>
        </x14:dataValidation>
        <x14:dataValidation type="list" allowBlank="1" showInputMessage="1">
          <x14:formula1>
            <xm:f>[4]Parameters!#REF!</xm:f>
          </x14:formula1>
          <xm:sqref>J15:J16</xm:sqref>
        </x14:dataValidation>
        <x14:dataValidation type="list" allowBlank="1" showInputMessage="1">
          <x14:formula1>
            <xm:f>[4]Parameters!#REF!</xm:f>
          </x14:formula1>
          <xm:sqref>G9</xm:sqref>
        </x14:dataValidation>
        <x14:dataValidation type="list" allowBlank="1" showInputMessage="1">
          <x14:formula1>
            <xm:f>[4]Parameters!#REF!</xm:f>
          </x14:formula1>
          <xm:sqref>D11</xm:sqref>
        </x14:dataValidation>
        <x14:dataValidation type="list" allowBlank="1" showInputMessage="1">
          <x14:formula1>
            <xm:f>[4]Parameters!#REF!</xm:f>
          </x14:formula1>
          <xm:sqref>D19:D20</xm:sqref>
        </x14:dataValidation>
        <x14:dataValidation type="list" allowBlank="1" showInputMessage="1">
          <x14:formula1>
            <xm:f>[4]Parameters!#REF!</xm:f>
          </x14:formula1>
          <xm:sqref>G7</xm:sqref>
        </x14:dataValidation>
        <x14:dataValidation type="list" allowBlank="1" showInputMessage="1">
          <x14:formula1>
            <xm:f>[4]Parameters!#REF!</xm:f>
          </x14:formula1>
          <xm:sqref>M19</xm:sqref>
        </x14:dataValidation>
        <x14:dataValidation type="list" allowBlank="1" showInputMessage="1">
          <x14:formula1>
            <xm:f>[4]Parameters!#REF!</xm:f>
          </x14:formula1>
          <xm:sqref>D16:D18</xm:sqref>
        </x14:dataValidation>
        <x14:dataValidation type="list" allowBlank="1" showInputMessage="1">
          <x14:formula1>
            <xm:f>[4]Parameters!#REF!</xm:f>
          </x14:formula1>
          <xm:sqref>J9</xm:sqref>
        </x14:dataValidation>
        <x14:dataValidation type="list" allowBlank="1" showInputMessage="1">
          <x14:formula1>
            <xm:f>[4]Parameters!#REF!</xm:f>
          </x14:formula1>
          <xm:sqref>G14</xm:sqref>
        </x14:dataValidation>
        <x14:dataValidation type="list" allowBlank="1" showInputMessage="1">
          <x14:formula1>
            <xm:f>[4]Parameters!#REF!</xm:f>
          </x14:formula1>
          <xm:sqref>M18</xm:sqref>
        </x14:dataValidation>
        <x14:dataValidation type="list" allowBlank="1" showInputMessage="1">
          <x14:formula1>
            <xm:f>[4]Parameters!#REF!</xm:f>
          </x14:formula1>
          <xm:sqref>M20</xm:sqref>
        </x14:dataValidation>
        <x14:dataValidation type="list" allowBlank="1" showInputMessage="1">
          <x14:formula1>
            <xm:f>[4]Parameters!#REF!</xm:f>
          </x14:formula1>
          <xm:sqref>G11</xm:sqref>
        </x14:dataValidation>
        <x14:dataValidation type="list" allowBlank="1" showInputMessage="1">
          <x14:formula1>
            <xm:f>[4]Parameters!#REF!</xm:f>
          </x14:formula1>
          <xm:sqref>D10</xm:sqref>
        </x14:dataValidation>
        <x14:dataValidation type="list" allowBlank="1" showInputMessage="1">
          <x14:formula1>
            <xm:f>[4]Parameters!#REF!</xm:f>
          </x14:formula1>
          <xm:sqref>D14</xm:sqref>
        </x14:dataValidation>
        <x14:dataValidation type="list" allowBlank="1" showInputMessage="1">
          <x14:formula1>
            <xm:f>[4]Parameters!#REF!</xm:f>
          </x14:formula1>
          <xm:sqref>G15:G16</xm:sqref>
        </x14:dataValidation>
        <x14:dataValidation type="list" allowBlank="1" showInputMessage="1">
          <x14:formula1>
            <xm:f>[4]Parameters!#REF!</xm:f>
          </x14:formula1>
          <xm:sqref>G17:G19</xm:sqref>
        </x14:dataValidation>
        <x14:dataValidation type="list" allowBlank="1" showInputMessage="1">
          <x14:formula1>
            <xm:f>[4]Parameters!#REF!</xm:f>
          </x14:formula1>
          <xm:sqref>J14</xm:sqref>
        </x14:dataValidation>
        <x14:dataValidation type="list" allowBlank="1" showInputMessage="1">
          <x14:formula1>
            <xm:f>[4]Parameters!#REF!</xm:f>
          </x14:formula1>
          <xm:sqref>J11</xm:sqref>
        </x14:dataValidation>
        <x14:dataValidation type="list" allowBlank="1" showInputMessage="1">
          <x14:formula1>
            <xm:f>[4]Parameters!#REF!</xm:f>
          </x14:formula1>
          <xm:sqref>M15</xm:sqref>
        </x14:dataValidation>
        <x14:dataValidation type="list" allowBlank="1" showInputMessage="1">
          <x14:formula1>
            <xm:f>[4]Parameters!#REF!</xm:f>
          </x14:formula1>
          <xm:sqref>M14</xm:sqref>
        </x14:dataValidation>
        <x14:dataValidation type="list" allowBlank="1" showInputMessage="1">
          <x14:formula1>
            <xm:f>[4]Parameters!#REF!</xm:f>
          </x14:formula1>
          <xm:sqref>M12</xm:sqref>
        </x14:dataValidation>
        <x14:dataValidation type="list" allowBlank="1" showInputMessage="1">
          <x14:formula1>
            <xm:f>[4]Parameters!#REF!</xm:f>
          </x14:formula1>
          <xm:sqref>M11</xm:sqref>
        </x14:dataValidation>
        <x14:dataValidation type="list" allowBlank="1" showInputMessage="1">
          <x14:formula1>
            <xm:f>[4]Parameters!#REF!</xm:f>
          </x14:formula1>
          <xm:sqref>M9</xm:sqref>
        </x14:dataValidation>
        <x14:dataValidation type="list" allowBlank="1" showInputMessage="1">
          <x14:formula1>
            <xm:f>[4]Parameters!#REF!</xm:f>
          </x14:formula1>
          <xm:sqref>M8</xm:sqref>
        </x14:dataValidation>
        <x14:dataValidation type="list" allowBlank="1" showInputMessage="1">
          <x14:formula1>
            <xm:f>[4]Parameters!#REF!</xm:f>
          </x14:formula1>
          <xm:sqref>J8</xm:sqref>
        </x14:dataValidation>
        <x14:dataValidation type="list" allowBlank="1" showInputMessage="1">
          <x14:formula1>
            <xm:f>[4]Parameters!#REF!</xm:f>
          </x14:formula1>
          <xm:sqref>K10</xm:sqref>
        </x14:dataValidation>
        <x14:dataValidation type="list" allowBlank="1" showInputMessage="1">
          <x14:formula1>
            <xm:f>[4]Parameters!#REF!</xm:f>
          </x14:formula1>
          <xm:sqref>J7</xm:sqref>
        </x14:dataValidation>
        <x14:dataValidation type="list" allowBlank="1" showInputMessage="1">
          <x14:formula1>
            <xm:f>[4]Parameters!#REF!</xm:f>
          </x14:formula1>
          <xm:sqref>K7</xm:sqref>
        </x14:dataValidation>
        <x14:dataValidation type="list" allowBlank="1" showInputMessage="1">
          <x14:formula1>
            <xm:f>[4]Parameters!#REF!</xm:f>
          </x14:formula1>
          <xm:sqref>J10</xm:sqref>
        </x14:dataValidation>
        <x14:dataValidation type="list" allowBlank="1" showInputMessage="1">
          <x14:formula1>
            <xm:f>[4]Parameters!#REF!</xm:f>
          </x14:formula1>
          <xm:sqref>J17:K17</xm:sqref>
        </x14:dataValidation>
        <x14:dataValidation type="list" allowBlank="1" showInputMessage="1">
          <x14:formula1>
            <xm:f>[4]Parameters!#REF!</xm:f>
          </x14:formula1>
          <xm:sqref>J20:K20</xm:sqref>
        </x14:dataValidation>
        <x14:dataValidation type="list" allowBlank="1" showInputMessage="1">
          <x14:formula1>
            <xm:f>[4]Parameters!#REF!</xm:f>
          </x14:formula1>
          <xm:sqref>D7</xm:sqref>
        </x14:dataValidation>
        <x14:dataValidation type="list" allowBlank="1" showInputMessage="1">
          <x14:formula1>
            <xm:f>[4]Parameters!#REF!</xm:f>
          </x14:formula1>
          <xm:sqref>G20</xm:sqref>
        </x14:dataValidation>
        <x14:dataValidation type="list" allowBlank="1" showInputMessage="1">
          <x14:formula1>
            <xm:f>[4]Parameters!#REF!</xm:f>
          </x14:formula1>
          <xm:sqref>G8</xm:sqref>
        </x14:dataValidation>
        <x14:dataValidation type="list" allowBlank="1" showInputMessage="1">
          <x14:formula1>
            <xm:f>[4]Parameters!#REF!</xm:f>
          </x14:formula1>
          <xm:sqref>G10</xm:sqref>
        </x14:dataValidation>
        <x14:dataValidation type="list" allowBlank="1" showInputMessage="1">
          <x14:formula1>
            <xm:f>[4]Parameters!#REF!</xm:f>
          </x14:formula1>
          <xm:sqref>J18:K19</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K16" workbookViewId="0">
      <selection activeCell="G32" sqref="G32"/>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0.23204176299934015</v>
      </c>
      <c r="S5" s="616">
        <f>R5*(1-1/(1+D7)^G17)/(1-1/(1+D7))</f>
        <v>4.1617948143416026</v>
      </c>
      <c r="T5" s="798">
        <f>S5*G11*G7*G9*G20*G8/G39</f>
        <v>5.2543131103727617E-2</v>
      </c>
      <c r="U5" s="798"/>
      <c r="V5" s="799">
        <f>$G$15*$G$10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20.212765957446809</v>
      </c>
      <c r="AW5" s="277">
        <f>AT5</f>
        <v>106.38297872340425</v>
      </c>
      <c r="AX5" s="413">
        <f t="shared" si="0"/>
        <v>20.212765957446809</v>
      </c>
      <c r="AY5" s="278">
        <f t="shared" ref="AY5:AY68" si="3">IF(ISNUMBER(AS5),LN(AX5+$J$39)-LN($J$39),0)</f>
        <v>6.8306303745020891E-2</v>
      </c>
      <c r="AZ5" s="231">
        <f t="shared" ref="AZ5:AZ68" si="4">IF(ISNUMBER(AS5),AY5/(1+$D$7)^AS5,0)</f>
        <v>6.6316799752447461E-2</v>
      </c>
      <c r="BA5" s="231">
        <f>SUM(AZ5:AZ111)</f>
        <v>1.0623506004958332</v>
      </c>
      <c r="BB5" s="232">
        <f>SUM(AZ5:AZ23)</f>
        <v>0.97840577253548111</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0</v>
      </c>
      <c r="S6" s="616">
        <f>R6*(1-1/(1+D7)^G17)/(1-1/(1+D7))</f>
        <v>0</v>
      </c>
      <c r="T6" s="798">
        <f>S6*M8*M9*M14*(V39/U39)*G11</f>
        <v>0</v>
      </c>
      <c r="U6" s="798"/>
      <c r="V6" s="799">
        <v>0</v>
      </c>
      <c r="W6" s="811"/>
      <c r="X6" s="237"/>
      <c r="Y6" s="245"/>
      <c r="Z6" s="357" t="s">
        <v>42</v>
      </c>
      <c r="AA6" s="358"/>
      <c r="AB6" s="359">
        <f>$G$7*$G$8*$G$9*G$20*$J7</f>
        <v>5.4246143999999996E-3</v>
      </c>
      <c r="AC6" s="246"/>
      <c r="AD6" s="628" t="s">
        <v>669</v>
      </c>
      <c r="AE6" s="611">
        <f>M19</f>
        <v>5</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20.212765957446809</v>
      </c>
      <c r="AW6" s="277">
        <f t="shared" ref="AW6:AW69" si="6">AT6</f>
        <v>106.38297872340425</v>
      </c>
      <c r="AX6" s="413">
        <f t="shared" si="0"/>
        <v>20.212765957446809</v>
      </c>
      <c r="AY6" s="278">
        <f t="shared" si="3"/>
        <v>6.8306303745020891E-2</v>
      </c>
      <c r="AZ6" s="231">
        <f t="shared" si="4"/>
        <v>6.4385242478104343E-2</v>
      </c>
      <c r="BA6" s="231"/>
    </row>
    <row r="7" spans="1:54" ht="26.1" customHeight="1" x14ac:dyDescent="0.25">
      <c r="A7" s="245"/>
      <c r="B7" s="801" t="s">
        <v>45</v>
      </c>
      <c r="C7" s="299" t="s">
        <v>0</v>
      </c>
      <c r="D7" s="139">
        <v>0.03</v>
      </c>
      <c r="E7" s="233"/>
      <c r="F7" s="319" t="s">
        <v>662</v>
      </c>
      <c r="G7" s="335">
        <v>0.71153846153846145</v>
      </c>
      <c r="H7" s="235"/>
      <c r="I7" s="319" t="s">
        <v>8</v>
      </c>
      <c r="J7" s="378">
        <v>0.24959999999999999</v>
      </c>
      <c r="K7" s="312"/>
      <c r="L7" s="319" t="s">
        <v>175</v>
      </c>
      <c r="M7" s="322"/>
      <c r="N7" s="243"/>
      <c r="O7" s="237"/>
      <c r="P7" s="245"/>
      <c r="Q7" s="246"/>
      <c r="R7" s="237"/>
      <c r="S7" s="237"/>
      <c r="T7" s="237"/>
      <c r="U7" s="316"/>
      <c r="V7" s="237"/>
      <c r="W7" s="243"/>
      <c r="X7" s="237"/>
      <c r="Y7" s="245"/>
      <c r="Z7" s="357" t="s">
        <v>32</v>
      </c>
      <c r="AA7" s="358"/>
      <c r="AB7" s="359">
        <f>$G$7*$G$8*$G$9*G$20*$J8</f>
        <v>4.2140734461538461E-3</v>
      </c>
      <c r="AC7" s="246"/>
      <c r="AD7" s="628" t="s">
        <v>411</v>
      </c>
      <c r="AE7" s="611">
        <f>G10</f>
        <v>3</v>
      </c>
      <c r="AF7" s="245"/>
      <c r="AG7" s="245"/>
      <c r="AH7" s="245"/>
      <c r="AI7" s="245"/>
      <c r="AJ7" s="245"/>
      <c r="AK7" s="245"/>
      <c r="AL7" s="245"/>
      <c r="AM7" s="245"/>
      <c r="AN7" s="245"/>
      <c r="AO7" s="245"/>
      <c r="AP7" s="245"/>
      <c r="AQ7" s="245"/>
      <c r="AS7" s="231">
        <f t="shared" si="1"/>
        <v>3</v>
      </c>
      <c r="AT7" s="277">
        <f>IF(ISNUMBER(AS7),AW6,0)</f>
        <v>106.38297872340425</v>
      </c>
      <c r="AU7" s="277"/>
      <c r="AV7" s="277">
        <f t="shared" si="2"/>
        <v>20.212765957446809</v>
      </c>
      <c r="AW7" s="277">
        <f t="shared" si="6"/>
        <v>106.38297872340425</v>
      </c>
      <c r="AX7" s="413">
        <f t="shared" si="0"/>
        <v>20.212765957446809</v>
      </c>
      <c r="AY7" s="278">
        <f t="shared" si="3"/>
        <v>6.8306303745020891E-2</v>
      </c>
      <c r="AZ7" s="231">
        <f t="shared" si="4"/>
        <v>6.250994415349935E-2</v>
      </c>
      <c r="BA7" s="231"/>
    </row>
    <row r="8" spans="1:54" ht="24.95" customHeight="1" thickBot="1" x14ac:dyDescent="0.3">
      <c r="A8" s="245"/>
      <c r="B8" s="801"/>
      <c r="C8" s="293"/>
      <c r="D8" s="293"/>
      <c r="E8" s="272"/>
      <c r="F8" s="321" t="s">
        <v>6</v>
      </c>
      <c r="G8" s="244">
        <v>0.23</v>
      </c>
      <c r="H8" s="236"/>
      <c r="I8" s="612" t="s">
        <v>9</v>
      </c>
      <c r="J8" s="376">
        <v>0.19389999999999999</v>
      </c>
      <c r="K8" s="313"/>
      <c r="L8" s="612" t="s">
        <v>169</v>
      </c>
      <c r="M8" s="613"/>
      <c r="N8" s="243"/>
      <c r="O8" s="237"/>
      <c r="P8" s="245"/>
      <c r="Q8" s="802" t="s">
        <v>191</v>
      </c>
      <c r="R8" s="237"/>
      <c r="S8" s="618" t="s">
        <v>306</v>
      </c>
      <c r="T8" s="803" t="s">
        <v>34</v>
      </c>
      <c r="U8" s="803"/>
      <c r="V8" s="803" t="s">
        <v>152</v>
      </c>
      <c r="W8" s="804"/>
      <c r="X8" s="237"/>
      <c r="Y8" s="245"/>
      <c r="Z8" s="357" t="s">
        <v>38</v>
      </c>
      <c r="AA8" s="358"/>
      <c r="AB8" s="359">
        <f>$G$7*$G$8*$G$9*G$20</f>
        <v>2.1733230769230769E-2</v>
      </c>
      <c r="AC8" s="371"/>
      <c r="AD8" s="372" t="s">
        <v>668</v>
      </c>
      <c r="AE8" s="373">
        <f>(AE7*M19)/S5</f>
        <v>3.6042142078484485</v>
      </c>
      <c r="AF8" s="245"/>
      <c r="AG8" s="245"/>
      <c r="AH8" s="245"/>
      <c r="AI8" s="245"/>
      <c r="AJ8" s="245"/>
      <c r="AK8" s="245"/>
      <c r="AL8" s="245"/>
      <c r="AM8" s="245"/>
      <c r="AN8" s="245"/>
      <c r="AO8" s="245"/>
      <c r="AP8" s="245"/>
      <c r="AQ8" s="245"/>
      <c r="AS8" s="231">
        <f t="shared" si="1"/>
        <v>4</v>
      </c>
      <c r="AT8" s="277">
        <f t="shared" si="5"/>
        <v>106.38297872340425</v>
      </c>
      <c r="AU8" s="277"/>
      <c r="AV8" s="277">
        <f t="shared" si="2"/>
        <v>20.212765957446809</v>
      </c>
      <c r="AW8" s="277">
        <f t="shared" si="6"/>
        <v>106.38297872340425</v>
      </c>
      <c r="AX8" s="413">
        <f t="shared" si="0"/>
        <v>20.212765957446809</v>
      </c>
      <c r="AY8" s="278">
        <f t="shared" si="3"/>
        <v>6.8306303745020891E-2</v>
      </c>
      <c r="AZ8" s="231">
        <f t="shared" si="4"/>
        <v>6.0689266168445978E-2</v>
      </c>
      <c r="BA8" s="231"/>
    </row>
    <row r="9" spans="1:54" ht="33.75" x14ac:dyDescent="0.25">
      <c r="A9" s="245"/>
      <c r="B9" s="801"/>
      <c r="C9" s="805" t="s">
        <v>14</v>
      </c>
      <c r="D9" s="805"/>
      <c r="E9" s="233"/>
      <c r="F9" s="612" t="s">
        <v>146</v>
      </c>
      <c r="G9" s="613">
        <v>0.8</v>
      </c>
      <c r="H9" s="236"/>
      <c r="I9" s="612" t="s">
        <v>164</v>
      </c>
      <c r="J9" s="376">
        <v>1.17</v>
      </c>
      <c r="K9" s="313"/>
      <c r="L9" s="612" t="s">
        <v>170</v>
      </c>
      <c r="M9" s="613"/>
      <c r="N9" s="243"/>
      <c r="O9" s="237"/>
      <c r="P9" s="245"/>
      <c r="Q9" s="802"/>
      <c r="R9" s="620" t="s">
        <v>44</v>
      </c>
      <c r="S9" s="619">
        <f>J11*($T$5*AB14*J14*J7+$V$5*J7)</f>
        <v>1.1113614852255618E-2</v>
      </c>
      <c r="T9" s="806">
        <f>S9/(J17/J9)</f>
        <v>2.3219516744891196E-2</v>
      </c>
      <c r="U9" s="806"/>
      <c r="V9" s="807">
        <f>($G$10*$M$19)/T9</f>
        <v>646.00827677864265</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20.212765957446809</v>
      </c>
      <c r="AW9" s="277">
        <f t="shared" si="6"/>
        <v>106.38297872340425</v>
      </c>
      <c r="AX9" s="413">
        <f t="shared" si="0"/>
        <v>20.212765957446809</v>
      </c>
      <c r="AY9" s="278">
        <f t="shared" si="3"/>
        <v>6.8306303745020891E-2</v>
      </c>
      <c r="AZ9" s="231">
        <f t="shared" si="4"/>
        <v>5.8921617639267947E-2</v>
      </c>
      <c r="BA9" s="231"/>
    </row>
    <row r="10" spans="1:54" ht="39.75" customHeight="1" x14ac:dyDescent="0.25">
      <c r="A10" s="245"/>
      <c r="B10" s="801"/>
      <c r="C10" s="290" t="s">
        <v>3</v>
      </c>
      <c r="D10" s="291">
        <v>0.19</v>
      </c>
      <c r="E10" s="283"/>
      <c r="F10" s="612" t="s">
        <v>323</v>
      </c>
      <c r="G10" s="466">
        <v>3</v>
      </c>
      <c r="H10" s="284"/>
      <c r="I10" s="612" t="s">
        <v>165</v>
      </c>
      <c r="J10" s="376">
        <v>1</v>
      </c>
      <c r="K10" s="313"/>
      <c r="L10" s="612" t="s">
        <v>184</v>
      </c>
      <c r="M10" s="613"/>
      <c r="N10" s="243"/>
      <c r="O10" s="237"/>
      <c r="P10" s="245"/>
      <c r="Q10" s="802"/>
      <c r="R10" s="620" t="s">
        <v>496</v>
      </c>
      <c r="S10" s="619">
        <f>J20*($T$5*AB15*J15*J8+$V$5*J8)</f>
        <v>7.8490486224238598E-3</v>
      </c>
      <c r="T10" s="806">
        <f>S10/(J18/J10)</f>
        <v>1.4831913496643727E-2</v>
      </c>
      <c r="U10" s="806"/>
      <c r="V10" s="807">
        <f>($G$10*$M$19)/T10</f>
        <v>1011.332759147652</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20.212765957446809</v>
      </c>
      <c r="AW10" s="277">
        <f t="shared" si="6"/>
        <v>106.38297872340425</v>
      </c>
      <c r="AX10" s="413">
        <f t="shared" si="0"/>
        <v>20.212765957446809</v>
      </c>
      <c r="AY10" s="278">
        <f t="shared" si="3"/>
        <v>6.8306303745020891E-2</v>
      </c>
      <c r="AZ10" s="231">
        <f t="shared" si="4"/>
        <v>5.720545401870674E-2</v>
      </c>
      <c r="BA10" s="231"/>
      <c r="BB10" s="498"/>
    </row>
    <row r="11" spans="1:54" ht="33" customHeight="1" x14ac:dyDescent="0.25">
      <c r="A11" s="245"/>
      <c r="B11" s="801"/>
      <c r="C11" s="296" t="s">
        <v>5</v>
      </c>
      <c r="D11" s="297">
        <v>0.5</v>
      </c>
      <c r="E11" s="234"/>
      <c r="F11" s="612" t="s">
        <v>301</v>
      </c>
      <c r="G11" s="466">
        <v>1.4</v>
      </c>
      <c r="H11" s="237"/>
      <c r="I11" s="612" t="s">
        <v>322</v>
      </c>
      <c r="J11" s="376">
        <v>0.77</v>
      </c>
      <c r="K11" s="313"/>
      <c r="L11" s="612" t="s">
        <v>183</v>
      </c>
      <c r="M11" s="613"/>
      <c r="N11" s="243"/>
      <c r="O11" s="245"/>
      <c r="P11" s="245"/>
      <c r="Q11" s="802"/>
      <c r="R11" s="620" t="s">
        <v>38</v>
      </c>
      <c r="S11" s="619" t="s">
        <v>408</v>
      </c>
      <c r="T11" s="806">
        <f>M18*((1/S39)*(1/M20)*T5*AB16+(1/R39)*M19*G10)</f>
        <v>9.4769679700366354E-3</v>
      </c>
      <c r="U11" s="806">
        <f>(1/S39)*(1/M20)*T5+1/R39*(G10*S5)</f>
        <v>1.0422718437373187E-2</v>
      </c>
      <c r="V11" s="807">
        <f>($G$10*$M$19)/T11</f>
        <v>1582.7847099858895</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20.212765957446809</v>
      </c>
      <c r="AW11" s="277">
        <f t="shared" si="6"/>
        <v>106.38297872340425</v>
      </c>
      <c r="AX11" s="413">
        <f t="shared" si="0"/>
        <v>20.212765957446809</v>
      </c>
      <c r="AY11" s="278">
        <f t="shared" si="3"/>
        <v>6.8306303745020891E-2</v>
      </c>
      <c r="AZ11" s="231">
        <f t="shared" si="4"/>
        <v>5.5539275746317222E-2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T6</f>
        <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20.212765957446809</v>
      </c>
      <c r="AW12" s="277">
        <f t="shared" si="6"/>
        <v>106.38297872340425</v>
      </c>
      <c r="AX12" s="413">
        <f t="shared" si="0"/>
        <v>20.212765957446809</v>
      </c>
      <c r="AY12" s="278">
        <f t="shared" si="3"/>
        <v>6.8306303745020891E-2</v>
      </c>
      <c r="AZ12" s="231">
        <f t="shared" si="4"/>
        <v>5.3921626938172068E-2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20.212765957446809</v>
      </c>
      <c r="AW13" s="277">
        <f t="shared" si="6"/>
        <v>106.38297872340425</v>
      </c>
      <c r="AX13" s="413">
        <f t="shared" si="0"/>
        <v>20.212765957446809</v>
      </c>
      <c r="AY13" s="278">
        <f t="shared" si="3"/>
        <v>6.8306303745020891E-2</v>
      </c>
      <c r="AZ13" s="231">
        <f t="shared" si="4"/>
        <v>5.2351094114730157E-2</v>
      </c>
      <c r="BA13" s="231"/>
    </row>
    <row r="14" spans="1:54" ht="35.1" customHeight="1" x14ac:dyDescent="0.25">
      <c r="A14" s="245"/>
      <c r="B14" s="892" t="s">
        <v>214</v>
      </c>
      <c r="C14" s="836" t="s">
        <v>1</v>
      </c>
      <c r="D14" s="838">
        <v>20</v>
      </c>
      <c r="E14" s="233"/>
      <c r="F14" s="622" t="s">
        <v>560</v>
      </c>
      <c r="G14" s="528">
        <v>5</v>
      </c>
      <c r="H14" s="237"/>
      <c r="I14" s="614" t="s">
        <v>11</v>
      </c>
      <c r="J14" s="379">
        <v>1</v>
      </c>
      <c r="K14" s="237"/>
      <c r="L14" s="612" t="s">
        <v>178</v>
      </c>
      <c r="M14" s="613"/>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20.212765957446809</v>
      </c>
      <c r="AW14" s="277">
        <f t="shared" si="6"/>
        <v>106.38297872340425</v>
      </c>
      <c r="AX14" s="413">
        <f t="shared" si="0"/>
        <v>20.212765957446809</v>
      </c>
      <c r="AY14" s="278">
        <f t="shared" si="3"/>
        <v>6.8306303745020891E-2</v>
      </c>
      <c r="AZ14" s="231">
        <f t="shared" si="4"/>
        <v>5.0826304965757435E-2</v>
      </c>
      <c r="BA14" s="231"/>
    </row>
    <row r="15" spans="1:54" ht="21" customHeight="1" thickBot="1" x14ac:dyDescent="0.3">
      <c r="A15" s="245"/>
      <c r="B15" s="892"/>
      <c r="C15" s="837"/>
      <c r="D15" s="839"/>
      <c r="E15" s="234"/>
      <c r="F15" s="836" t="s">
        <v>2</v>
      </c>
      <c r="G15" s="917">
        <v>1.7608179999999999E-3</v>
      </c>
      <c r="H15" s="237"/>
      <c r="I15" s="818" t="s">
        <v>10</v>
      </c>
      <c r="J15" s="820">
        <v>0.9</v>
      </c>
      <c r="K15" s="314"/>
      <c r="L15" s="320" t="s">
        <v>181</v>
      </c>
      <c r="M15" s="334"/>
      <c r="N15" s="243"/>
      <c r="O15" s="237"/>
      <c r="P15" s="245"/>
      <c r="Q15" s="802"/>
      <c r="R15" s="624">
        <f>BA5</f>
        <v>1.0623506004958332</v>
      </c>
      <c r="S15" s="624">
        <f>AZ4</f>
        <v>0.31632022465180309</v>
      </c>
      <c r="T15" s="835">
        <f>R15+S15</f>
        <v>1.3786708251476363</v>
      </c>
      <c r="U15" s="835"/>
      <c r="V15" s="806">
        <f>T15/(Tim!Q39/Tim!D19)</f>
        <v>5.3652353831445416E-3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20.212765957446809</v>
      </c>
      <c r="AW15" s="277">
        <f t="shared" si="6"/>
        <v>106.38297872340425</v>
      </c>
      <c r="AX15" s="413">
        <f t="shared" si="0"/>
        <v>20.212765957446809</v>
      </c>
      <c r="AY15" s="278">
        <f t="shared" si="3"/>
        <v>6.8306303745020891E-2</v>
      </c>
      <c r="AZ15" s="231">
        <f t="shared" si="4"/>
        <v>4.9345927151220811E-2</v>
      </c>
      <c r="BA15" s="231"/>
    </row>
    <row r="16" spans="1:54" ht="21" customHeight="1" thickBot="1" x14ac:dyDescent="0.3">
      <c r="A16" s="245"/>
      <c r="B16" s="892"/>
      <c r="C16" s="841" t="s">
        <v>507</v>
      </c>
      <c r="D16" s="842">
        <v>0.25</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20.212765957446809</v>
      </c>
      <c r="AW16" s="277">
        <f t="shared" si="6"/>
        <v>106.38297872340425</v>
      </c>
      <c r="AX16" s="413">
        <f t="shared" si="0"/>
        <v>20.212765957446809</v>
      </c>
      <c r="AY16" s="278">
        <f t="shared" si="3"/>
        <v>6.8306303745020891E-2</v>
      </c>
      <c r="AZ16" s="231">
        <f t="shared" si="4"/>
        <v>4.7908667137107591E-2</v>
      </c>
      <c r="BA16" s="231"/>
    </row>
    <row r="17" spans="1:54" ht="21" customHeight="1" x14ac:dyDescent="0.25">
      <c r="A17" s="245"/>
      <c r="B17" s="892"/>
      <c r="C17" s="836"/>
      <c r="D17" s="843"/>
      <c r="E17" s="234"/>
      <c r="F17" s="841" t="s">
        <v>216</v>
      </c>
      <c r="G17" s="916">
        <v>25</v>
      </c>
      <c r="H17" s="237"/>
      <c r="I17" s="294" t="s">
        <v>28</v>
      </c>
      <c r="J17" s="381">
        <v>0.56000000000000005</v>
      </c>
      <c r="K17" s="315"/>
      <c r="L17" s="850" t="s">
        <v>38</v>
      </c>
      <c r="M17" s="850"/>
      <c r="N17" s="243"/>
      <c r="O17" s="237"/>
      <c r="P17" s="245"/>
      <c r="Q17" s="617"/>
      <c r="R17" s="410" t="s">
        <v>414</v>
      </c>
      <c r="S17" s="453">
        <f>$T9/$T$9</f>
        <v>1</v>
      </c>
      <c r="T17" s="851">
        <f>$T9/$T$10</f>
        <v>1.5655105290457281</v>
      </c>
      <c r="U17" s="852"/>
      <c r="V17" s="453">
        <f>$T9/$T$11</f>
        <v>2.4500997384716743</v>
      </c>
      <c r="W17" s="454">
        <f>$T9/$V$15</f>
        <v>4.3277722386305326</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20.212765957446809</v>
      </c>
      <c r="AW17" s="277">
        <f t="shared" si="6"/>
        <v>106.38297872340425</v>
      </c>
      <c r="AX17" s="413">
        <f t="shared" si="0"/>
        <v>20.212765957446809</v>
      </c>
      <c r="AY17" s="278">
        <f t="shared" si="3"/>
        <v>6.8306303745020891E-2</v>
      </c>
      <c r="AZ17" s="231">
        <f t="shared" si="4"/>
        <v>4.6513269065153004E-2</v>
      </c>
      <c r="BA17" s="231"/>
    </row>
    <row r="18" spans="1:54" ht="18" customHeight="1" x14ac:dyDescent="0.25">
      <c r="A18" s="245"/>
      <c r="B18" s="892"/>
      <c r="C18" s="837"/>
      <c r="D18" s="844"/>
      <c r="E18" s="234"/>
      <c r="F18" s="836"/>
      <c r="G18" s="848"/>
      <c r="H18" s="237"/>
      <c r="I18" s="853" t="s">
        <v>7</v>
      </c>
      <c r="J18" s="882">
        <v>0.5292</v>
      </c>
      <c r="K18" s="315"/>
      <c r="L18" s="612" t="s">
        <v>519</v>
      </c>
      <c r="M18" s="137">
        <v>0.85</v>
      </c>
      <c r="N18" s="243"/>
      <c r="O18" s="237"/>
      <c r="P18" s="245"/>
      <c r="Q18" s="617"/>
      <c r="R18" s="884" t="s">
        <v>415</v>
      </c>
      <c r="S18" s="885">
        <f>$T10/$T$9</f>
        <v>0.6387692586197804</v>
      </c>
      <c r="T18" s="858">
        <f>$T10/$T$10</f>
        <v>1</v>
      </c>
      <c r="U18" s="859"/>
      <c r="V18" s="885">
        <f>$T10/$T$11</f>
        <v>1.5650483934880695</v>
      </c>
      <c r="W18" s="890">
        <f>$T10/$V$15</f>
        <v>2.7644478643452928</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20.212765957446809</v>
      </c>
      <c r="AW18" s="277">
        <f t="shared" si="6"/>
        <v>106.38297872340425</v>
      </c>
      <c r="AX18" s="413">
        <f t="shared" si="0"/>
        <v>20.212765957446809</v>
      </c>
      <c r="AY18" s="278">
        <f t="shared" si="3"/>
        <v>6.8306303745020891E-2</v>
      </c>
      <c r="AZ18" s="231">
        <f t="shared" si="4"/>
        <v>4.5158513655488348E-2</v>
      </c>
      <c r="BA18" s="231"/>
    </row>
    <row r="19" spans="1:54" ht="24" customHeight="1" x14ac:dyDescent="0.25">
      <c r="A19" s="245"/>
      <c r="B19" s="892"/>
      <c r="C19" s="836" t="s">
        <v>19</v>
      </c>
      <c r="D19" s="856">
        <v>0.82799999999999996</v>
      </c>
      <c r="E19" s="234"/>
      <c r="F19" s="837"/>
      <c r="G19" s="849"/>
      <c r="H19" s="237"/>
      <c r="I19" s="854"/>
      <c r="J19" s="883"/>
      <c r="K19" s="315"/>
      <c r="L19" s="612" t="s">
        <v>520</v>
      </c>
      <c r="M19" s="506">
        <v>5</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20.212765957446809</v>
      </c>
      <c r="AW19" s="277">
        <f t="shared" si="6"/>
        <v>106.38297872340425</v>
      </c>
      <c r="AX19" s="413">
        <f t="shared" si="0"/>
        <v>20.212765957446809</v>
      </c>
      <c r="AY19" s="278">
        <f t="shared" si="3"/>
        <v>6.8306303745020891E-2</v>
      </c>
      <c r="AZ19" s="231">
        <f t="shared" si="4"/>
        <v>4.384321714125082E-2</v>
      </c>
      <c r="BA19" s="231"/>
    </row>
    <row r="20" spans="1:54" ht="35.1" customHeight="1" x14ac:dyDescent="0.25">
      <c r="A20" s="245"/>
      <c r="B20" s="892"/>
      <c r="C20" s="855"/>
      <c r="D20" s="857"/>
      <c r="E20" s="234"/>
      <c r="F20" s="308" t="s">
        <v>199</v>
      </c>
      <c r="G20" s="306">
        <v>0.16600000000000001</v>
      </c>
      <c r="H20" s="237"/>
      <c r="I20" s="305" t="s">
        <v>321</v>
      </c>
      <c r="J20" s="304">
        <v>0.77</v>
      </c>
      <c r="K20" s="314"/>
      <c r="L20" s="320" t="s">
        <v>433</v>
      </c>
      <c r="M20" s="137">
        <v>2</v>
      </c>
      <c r="N20" s="243"/>
      <c r="O20" s="237"/>
      <c r="P20" s="237"/>
      <c r="Q20" s="617"/>
      <c r="R20" s="410" t="s">
        <v>416</v>
      </c>
      <c r="S20" s="453">
        <f>$T11/$T$9</f>
        <v>0.40814664982731719</v>
      </c>
      <c r="T20" s="851">
        <f>$T11/$T$10</f>
        <v>0.63895787769940493</v>
      </c>
      <c r="U20" s="852"/>
      <c r="V20" s="453">
        <f>$T11/$T$11</f>
        <v>1</v>
      </c>
      <c r="W20" s="454">
        <f>$T11/$V$15</f>
        <v>1.7663657404127207</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106.38297872340425</v>
      </c>
      <c r="AU20" s="277"/>
      <c r="AV20" s="277">
        <f t="shared" si="2"/>
        <v>20.212765957446809</v>
      </c>
      <c r="AW20" s="277">
        <f t="shared" si="6"/>
        <v>106.38297872340425</v>
      </c>
      <c r="AX20" s="413">
        <f t="shared" si="0"/>
        <v>20.212765957446809</v>
      </c>
      <c r="AY20" s="278">
        <f t="shared" si="3"/>
        <v>6.8306303745020891E-2</v>
      </c>
      <c r="AZ20" s="231">
        <f t="shared" si="4"/>
        <v>4.2566230234224102E-2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0.2310657642918004</v>
      </c>
      <c r="T21" s="862">
        <f>$V15/$T$10</f>
        <v>0.36173588690081199</v>
      </c>
      <c r="U21" s="863"/>
      <c r="V21" s="455">
        <f>$V15/$T$11</f>
        <v>0.56613416866109778</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106.38297872340425</v>
      </c>
      <c r="AU21" s="277"/>
      <c r="AV21" s="277">
        <f t="shared" si="2"/>
        <v>20.212765957446809</v>
      </c>
      <c r="AW21" s="277">
        <f t="shared" si="6"/>
        <v>106.38297872340425</v>
      </c>
      <c r="AX21" s="413">
        <f t="shared" si="0"/>
        <v>20.212765957446809</v>
      </c>
      <c r="AY21" s="278">
        <f t="shared" si="3"/>
        <v>6.8306303745020891E-2</v>
      </c>
      <c r="AZ21" s="231">
        <f t="shared" si="4"/>
        <v>4.1326437120605929E-2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106.38297872340425</v>
      </c>
      <c r="AU22" s="277"/>
      <c r="AV22" s="277">
        <f t="shared" si="2"/>
        <v>20.212765957446809</v>
      </c>
      <c r="AW22" s="277">
        <f t="shared" si="6"/>
        <v>106.38297872340425</v>
      </c>
      <c r="AX22" s="413">
        <f t="shared" si="0"/>
        <v>20.212765957446809</v>
      </c>
      <c r="AY22" s="278">
        <f t="shared" si="3"/>
        <v>6.8306303745020891E-2</v>
      </c>
      <c r="AZ22" s="231">
        <f t="shared" si="4"/>
        <v>4.0122754486025168E-2</v>
      </c>
      <c r="BA22" s="231"/>
    </row>
    <row r="23" spans="1:54" ht="10.5" customHeight="1" x14ac:dyDescent="0.25">
      <c r="A23" s="245"/>
      <c r="B23" s="245"/>
      <c r="C23" s="245"/>
      <c r="D23" s="245"/>
      <c r="E23" s="237"/>
      <c r="F23" s="864" t="s">
        <v>34</v>
      </c>
      <c r="G23" s="256" t="s">
        <v>33</v>
      </c>
      <c r="H23" s="257"/>
      <c r="I23" s="450">
        <f>T9</f>
        <v>2.3219516744891196E-2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106.38297872340425</v>
      </c>
      <c r="AU23" s="277"/>
      <c r="AV23" s="277">
        <f t="shared" si="2"/>
        <v>20.212765957446809</v>
      </c>
      <c r="AW23" s="277">
        <f t="shared" si="6"/>
        <v>106.38297872340425</v>
      </c>
      <c r="AX23" s="413">
        <f t="shared" si="0"/>
        <v>20.212765957446809</v>
      </c>
      <c r="AY23" s="278">
        <f t="shared" si="3"/>
        <v>6.8306303745020891E-2</v>
      </c>
      <c r="AZ23" s="231">
        <f t="shared" si="4"/>
        <v>3.8954130568956476E-2</v>
      </c>
      <c r="BA23" s="231"/>
    </row>
    <row r="24" spans="1:54" ht="12" customHeight="1" thickBot="1" x14ac:dyDescent="0.3">
      <c r="A24" s="245"/>
      <c r="B24" s="245"/>
      <c r="C24" s="245"/>
      <c r="D24" s="245"/>
      <c r="E24" s="237"/>
      <c r="F24" s="865"/>
      <c r="G24" s="260" t="s">
        <v>32</v>
      </c>
      <c r="H24" s="261"/>
      <c r="I24" s="451">
        <f>T10</f>
        <v>1.4831913496643727E-2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106.38297872340425</v>
      </c>
      <c r="AU24" s="277"/>
      <c r="AV24" s="277">
        <f t="shared" si="2"/>
        <v>20.212765957446809</v>
      </c>
      <c r="AW24" s="277">
        <f t="shared" si="6"/>
        <v>106.38297872340425</v>
      </c>
      <c r="AX24" s="413">
        <f t="shared" si="0"/>
        <v>46.808510638297875</v>
      </c>
      <c r="AY24" s="278">
        <f t="shared" si="3"/>
        <v>0.15161369687158288</v>
      </c>
      <c r="AZ24" s="231">
        <f t="shared" si="4"/>
        <v>8.394482796035202E-2</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f>(R39/S39)*T5</f>
        <v>47.165545221209598</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5.3652353831445416E-3</v>
      </c>
      <c r="J26" s="262"/>
      <c r="K26" s="263"/>
      <c r="L26" s="262"/>
      <c r="M26" s="262"/>
      <c r="N26" s="262"/>
      <c r="O26" s="262"/>
      <c r="P26" s="237"/>
      <c r="Q26" s="866"/>
      <c r="R26" s="344" t="s">
        <v>42</v>
      </c>
      <c r="S26" s="457">
        <f>T9*$R$39</f>
        <v>80.351894920341664</v>
      </c>
      <c r="T26" s="458"/>
      <c r="U26" s="459" t="s">
        <v>42</v>
      </c>
      <c r="V26" s="459"/>
      <c r="W26" s="460">
        <f>S26/S$25</f>
        <v>1.7036142494163025</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1.5340403769761422</v>
      </c>
      <c r="J27" s="262"/>
      <c r="K27" s="263"/>
      <c r="L27" s="262"/>
      <c r="M27" s="262"/>
      <c r="N27" s="262"/>
      <c r="O27" s="262"/>
      <c r="P27" s="237"/>
      <c r="Q27" s="867"/>
      <c r="R27" s="344" t="s">
        <v>32</v>
      </c>
      <c r="S27" s="457">
        <f>T10*$R$39</f>
        <v>51.326320346961147</v>
      </c>
      <c r="T27" s="458"/>
      <c r="U27" s="459" t="s">
        <v>32</v>
      </c>
      <c r="V27" s="459"/>
      <c r="W27" s="460">
        <f>S27/S$25</f>
        <v>1.0882164110737453</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T12*$R$39</f>
        <v>#DIV/0!</v>
      </c>
      <c r="T28" s="458"/>
      <c r="U28" s="459" t="s">
        <v>168</v>
      </c>
      <c r="V28" s="459"/>
      <c r="W28" s="460" t="e">
        <f>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4.3277722386305326</v>
      </c>
      <c r="H29" s="268" t="s">
        <v>40</v>
      </c>
      <c r="I29" s="265"/>
      <c r="J29" s="265"/>
      <c r="K29" s="269"/>
      <c r="L29" s="237"/>
      <c r="M29" s="237"/>
      <c r="N29" s="237"/>
      <c r="O29" s="262"/>
      <c r="P29" s="237"/>
      <c r="R29" s="344" t="s">
        <v>14</v>
      </c>
      <c r="S29" s="457">
        <f>V15*$R$39</f>
        <v>18.566572012063183</v>
      </c>
      <c r="T29" s="458"/>
      <c r="U29" s="459" t="s">
        <v>14</v>
      </c>
      <c r="V29" s="459"/>
      <c r="W29" s="460">
        <f>S29/S$25</f>
        <v>0.39364692859977984</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2.7644478643452928</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t="str">
        <f>IFERROR(I25/I$26,"-")</f>
        <v>-</v>
      </c>
      <c r="H31" s="268" t="s">
        <v>40</v>
      </c>
      <c r="I31" s="265"/>
      <c r="J31" s="265"/>
      <c r="K31" s="269"/>
      <c r="L31" s="237"/>
      <c r="M31" s="237"/>
      <c r="N31" s="237"/>
      <c r="O31" s="262"/>
      <c r="P31" s="237"/>
      <c r="Q31" s="341"/>
      <c r="R31" s="343" t="s">
        <v>42</v>
      </c>
      <c r="S31" s="457">
        <f>IFERROR(IF(S26-S$25&gt;0,S26-S$25,"N/A"),"N/A")</f>
        <v>33.186349699132066</v>
      </c>
      <c r="T31" s="463"/>
      <c r="U31" s="459"/>
      <c r="V31" s="459"/>
      <c r="W31" s="464" t="str">
        <f>IF(AND(S31&lt;&gt;"N/A",S31&gt;=$W$35),R31,"Bednets")</f>
        <v>Deworm the World</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f>IFERROR(IF(S27-S$25&gt;0,S27-S$25,"N/A"),"N/A")</f>
        <v>4.1607751257515488</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646.00827677864265</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1011.332759147652</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1582.7847099858895</v>
      </c>
      <c r="J35" s="237"/>
      <c r="K35" s="243"/>
      <c r="L35" s="237"/>
      <c r="M35" s="237"/>
      <c r="N35" s="237"/>
      <c r="O35" s="237"/>
      <c r="P35" s="245"/>
      <c r="Q35" s="285"/>
      <c r="R35" s="898" t="s">
        <v>523</v>
      </c>
      <c r="S35" s="899"/>
      <c r="T35" s="899"/>
      <c r="U35" s="899"/>
      <c r="V35" s="899"/>
      <c r="W35" s="465">
        <f>$G$10*M19</f>
        <v>15</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[10]Parameters!#REF!</xm:f>
          </x14:formula1>
          <xm:sqref>M7</xm:sqref>
        </x14:dataValidation>
        <x14:dataValidation type="list" allowBlank="1" showInputMessage="1">
          <x14:formula1>
            <xm:f>[10]Parameters!#REF!</xm:f>
          </x14:formula1>
          <xm:sqref>M10</xm:sqref>
        </x14:dataValidation>
        <x14:dataValidation type="list" allowBlank="1" showInputMessage="1">
          <x14:formula1>
            <xm:f>[10]Parameters!#REF!</xm:f>
          </x14:formula1>
          <xm:sqref>J15:J16</xm:sqref>
        </x14:dataValidation>
        <x14:dataValidation type="list" allowBlank="1" showInputMessage="1">
          <x14:formula1>
            <xm:f>[10]Parameters!#REF!</xm:f>
          </x14:formula1>
          <xm:sqref>G9</xm:sqref>
        </x14:dataValidation>
        <x14:dataValidation type="list" allowBlank="1" showInputMessage="1">
          <x14:formula1>
            <xm:f>[10]Parameters!#REF!</xm:f>
          </x14:formula1>
          <xm:sqref>D11</xm:sqref>
        </x14:dataValidation>
        <x14:dataValidation type="list" allowBlank="1" showInputMessage="1">
          <x14:formula1>
            <xm:f>[10]Parameters!#REF!</xm:f>
          </x14:formula1>
          <xm:sqref>D19:D20</xm:sqref>
        </x14:dataValidation>
        <x14:dataValidation type="list" allowBlank="1" showInputMessage="1">
          <x14:formula1>
            <xm:f>[10]Parameters!#REF!</xm:f>
          </x14:formula1>
          <xm:sqref>G7</xm:sqref>
        </x14:dataValidation>
        <x14:dataValidation type="list" allowBlank="1" showInputMessage="1">
          <x14:formula1>
            <xm:f>[10]Parameters!#REF!</xm:f>
          </x14:formula1>
          <xm:sqref>M19</xm:sqref>
        </x14:dataValidation>
        <x14:dataValidation type="list" allowBlank="1" showInputMessage="1">
          <x14:formula1>
            <xm:f>[10]Parameters!#REF!</xm:f>
          </x14:formula1>
          <xm:sqref>D16:D18</xm:sqref>
        </x14:dataValidation>
        <x14:dataValidation type="list" allowBlank="1" showInputMessage="1">
          <x14:formula1>
            <xm:f>[10]Parameters!#REF!</xm:f>
          </x14:formula1>
          <xm:sqref>J9</xm:sqref>
        </x14:dataValidation>
        <x14:dataValidation type="list" allowBlank="1" showInputMessage="1">
          <x14:formula1>
            <xm:f>[10]Parameters!#REF!</xm:f>
          </x14:formula1>
          <xm:sqref>G14</xm:sqref>
        </x14:dataValidation>
        <x14:dataValidation type="list" allowBlank="1" showInputMessage="1">
          <x14:formula1>
            <xm:f>[10]Parameters!#REF!</xm:f>
          </x14:formula1>
          <xm:sqref>M18</xm:sqref>
        </x14:dataValidation>
        <x14:dataValidation type="list" allowBlank="1" showInputMessage="1">
          <x14:formula1>
            <xm:f>[10]Parameters!#REF!</xm:f>
          </x14:formula1>
          <xm:sqref>M20</xm:sqref>
        </x14:dataValidation>
        <x14:dataValidation type="list" allowBlank="1" showInputMessage="1">
          <x14:formula1>
            <xm:f>[10]Parameters!#REF!</xm:f>
          </x14:formula1>
          <xm:sqref>G11</xm:sqref>
        </x14:dataValidation>
        <x14:dataValidation type="list" allowBlank="1" showInputMessage="1">
          <x14:formula1>
            <xm:f>[10]Parameters!#REF!</xm:f>
          </x14:formula1>
          <xm:sqref>D10</xm:sqref>
        </x14:dataValidation>
        <x14:dataValidation type="list" allowBlank="1" showInputMessage="1">
          <x14:formula1>
            <xm:f>[10]Parameters!#REF!</xm:f>
          </x14:formula1>
          <xm:sqref>D14</xm:sqref>
        </x14:dataValidation>
        <x14:dataValidation type="list" allowBlank="1" showInputMessage="1">
          <x14:formula1>
            <xm:f>[10]Parameters!#REF!</xm:f>
          </x14:formula1>
          <xm:sqref>G15:G16</xm:sqref>
        </x14:dataValidation>
        <x14:dataValidation type="list" allowBlank="1" showInputMessage="1">
          <x14:formula1>
            <xm:f>[10]Parameters!#REF!</xm:f>
          </x14:formula1>
          <xm:sqref>G17:G19</xm:sqref>
        </x14:dataValidation>
        <x14:dataValidation type="list" allowBlank="1" showInputMessage="1">
          <x14:formula1>
            <xm:f>[10]Parameters!#REF!</xm:f>
          </x14:formula1>
          <xm:sqref>J14</xm:sqref>
        </x14:dataValidation>
        <x14:dataValidation type="list" allowBlank="1" showInputMessage="1">
          <x14:formula1>
            <xm:f>[10]Parameters!#REF!</xm:f>
          </x14:formula1>
          <xm:sqref>J11</xm:sqref>
        </x14:dataValidation>
        <x14:dataValidation type="list" allowBlank="1" showInputMessage="1">
          <x14:formula1>
            <xm:f>[10]Parameters!#REF!</xm:f>
          </x14:formula1>
          <xm:sqref>M15</xm:sqref>
        </x14:dataValidation>
        <x14:dataValidation type="list" allowBlank="1" showInputMessage="1">
          <x14:formula1>
            <xm:f>[10]Parameters!#REF!</xm:f>
          </x14:formula1>
          <xm:sqref>M14</xm:sqref>
        </x14:dataValidation>
        <x14:dataValidation type="list" allowBlank="1" showInputMessage="1">
          <x14:formula1>
            <xm:f>[10]Parameters!#REF!</xm:f>
          </x14:formula1>
          <xm:sqref>M12</xm:sqref>
        </x14:dataValidation>
        <x14:dataValidation type="list" allowBlank="1" showInputMessage="1">
          <x14:formula1>
            <xm:f>[10]Parameters!#REF!</xm:f>
          </x14:formula1>
          <xm:sqref>M11</xm:sqref>
        </x14:dataValidation>
        <x14:dataValidation type="list" allowBlank="1" showInputMessage="1">
          <x14:formula1>
            <xm:f>[10]Parameters!#REF!</xm:f>
          </x14:formula1>
          <xm:sqref>M9</xm:sqref>
        </x14:dataValidation>
        <x14:dataValidation type="list" allowBlank="1" showInputMessage="1">
          <x14:formula1>
            <xm:f>[10]Parameters!#REF!</xm:f>
          </x14:formula1>
          <xm:sqref>M8</xm:sqref>
        </x14:dataValidation>
        <x14:dataValidation type="list" allowBlank="1" showInputMessage="1">
          <x14:formula1>
            <xm:f>[10]Parameters!#REF!</xm:f>
          </x14:formula1>
          <xm:sqref>J8</xm:sqref>
        </x14:dataValidation>
        <x14:dataValidation type="list" allowBlank="1" showInputMessage="1">
          <x14:formula1>
            <xm:f>[10]Parameters!#REF!</xm:f>
          </x14:formula1>
          <xm:sqref>K10</xm:sqref>
        </x14:dataValidation>
        <x14:dataValidation type="list" allowBlank="1" showInputMessage="1">
          <x14:formula1>
            <xm:f>[10]Parameters!#REF!</xm:f>
          </x14:formula1>
          <xm:sqref>J7</xm:sqref>
        </x14:dataValidation>
        <x14:dataValidation type="list" allowBlank="1" showInputMessage="1">
          <x14:formula1>
            <xm:f>[10]Parameters!#REF!</xm:f>
          </x14:formula1>
          <xm:sqref>K7</xm:sqref>
        </x14:dataValidation>
        <x14:dataValidation type="list" allowBlank="1" showInputMessage="1">
          <x14:formula1>
            <xm:f>[10]Parameters!#REF!</xm:f>
          </x14:formula1>
          <xm:sqref>J10</xm:sqref>
        </x14:dataValidation>
        <x14:dataValidation type="list" allowBlank="1" showInputMessage="1">
          <x14:formula1>
            <xm:f>[10]Parameters!#REF!</xm:f>
          </x14:formula1>
          <xm:sqref>J17:K17</xm:sqref>
        </x14:dataValidation>
        <x14:dataValidation type="list" allowBlank="1" showInputMessage="1">
          <x14:formula1>
            <xm:f>[10]Parameters!#REF!</xm:f>
          </x14:formula1>
          <xm:sqref>J20:K20</xm:sqref>
        </x14:dataValidation>
        <x14:dataValidation type="list" allowBlank="1" showInputMessage="1">
          <x14:formula1>
            <xm:f>[10]Parameters!#REF!</xm:f>
          </x14:formula1>
          <xm:sqref>D7</xm:sqref>
        </x14:dataValidation>
        <x14:dataValidation type="list" allowBlank="1" showInputMessage="1">
          <x14:formula1>
            <xm:f>[10]Parameters!#REF!</xm:f>
          </x14:formula1>
          <xm:sqref>G20</xm:sqref>
        </x14:dataValidation>
        <x14:dataValidation type="list" allowBlank="1" showInputMessage="1">
          <x14:formula1>
            <xm:f>[10]Parameters!#REF!</xm:f>
          </x14:formula1>
          <xm:sqref>G8</xm:sqref>
        </x14:dataValidation>
        <x14:dataValidation type="list" allowBlank="1" showInputMessage="1">
          <x14:formula1>
            <xm:f>[10]Parameters!#REF!</xm:f>
          </x14:formula1>
          <xm:sqref>G10</xm:sqref>
        </x14:dataValidation>
        <x14:dataValidation type="list" allowBlank="1" showInputMessage="1">
          <x14:formula1>
            <xm:f>[10]Parameters!#REF!</xm:f>
          </x14:formula1>
          <xm:sqref>J18:K19</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C11" workbookViewId="0">
      <selection activeCell="G15" sqref="G15:G16"/>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0.21235108403044875</v>
      </c>
      <c r="S5" s="616">
        <f>R5*(1-1/(1+D7)^G17)/(1-1/(1+D7))</f>
        <v>3.2540253516810806</v>
      </c>
      <c r="T5" s="798">
        <f>S5*G11*G7*G9*G20*G8/G39</f>
        <v>9.684178863413466E-2</v>
      </c>
      <c r="U5" s="798"/>
      <c r="V5" s="799">
        <f>$G$15*$G$10</f>
        <v>8.8040900000000005E-3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20.212765957446809</v>
      </c>
      <c r="AW5" s="277">
        <f>AT5</f>
        <v>106.38297872340425</v>
      </c>
      <c r="AX5" s="413">
        <f t="shared" si="0"/>
        <v>20.212765957446809</v>
      </c>
      <c r="AY5" s="278">
        <f t="shared" ref="AY5:AY68" si="3">IF(ISNUMBER(AS5),LN(AX5+$J$39)-LN($J$39),0)</f>
        <v>6.8306303745020891E-2</v>
      </c>
      <c r="AZ5" s="231">
        <f t="shared" ref="AZ5:AZ68" si="4">IF(ISNUMBER(AS5),AY5/(1+$D$7)^AS5,0)</f>
        <v>6.6316799752447461E-2</v>
      </c>
      <c r="BA5" s="231">
        <f>SUM(AZ5:AZ111)</f>
        <v>0.83736234126321163</v>
      </c>
      <c r="BB5" s="232">
        <f>SUM(AZ5:AZ23)</f>
        <v>0.83736234126321163</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0</v>
      </c>
      <c r="S6" s="616">
        <f>R6*(1-1/(1+D7)^G17)/(1-1/(1+D7))</f>
        <v>0</v>
      </c>
      <c r="T6" s="798">
        <f>S6*M8*M9*M14*(V39/U39)*G11</f>
        <v>0</v>
      </c>
      <c r="U6" s="798"/>
      <c r="V6" s="799">
        <v>0</v>
      </c>
      <c r="W6" s="811"/>
      <c r="X6" s="237"/>
      <c r="Y6" s="245"/>
      <c r="Z6" s="357" t="s">
        <v>42</v>
      </c>
      <c r="AA6" s="358"/>
      <c r="AB6" s="359">
        <f>$G$7*$G$8*$G$9*G$20*$J7</f>
        <v>1.3238030769230769E-2</v>
      </c>
      <c r="AC6" s="246"/>
      <c r="AD6" s="628" t="s">
        <v>669</v>
      </c>
      <c r="AE6" s="611">
        <f>M19</f>
        <v>17</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20.212765957446809</v>
      </c>
      <c r="AW6" s="277">
        <f t="shared" ref="AW6:AW69" si="6">AT6</f>
        <v>106.38297872340425</v>
      </c>
      <c r="AX6" s="413">
        <f t="shared" si="0"/>
        <v>20.212765957446809</v>
      </c>
      <c r="AY6" s="278">
        <f t="shared" si="3"/>
        <v>6.8306303745020891E-2</v>
      </c>
      <c r="AZ6" s="231">
        <f t="shared" si="4"/>
        <v>6.4385242478104343E-2</v>
      </c>
      <c r="BA6" s="231"/>
    </row>
    <row r="7" spans="1:54" ht="26.1" customHeight="1" x14ac:dyDescent="0.25">
      <c r="A7" s="245"/>
      <c r="B7" s="801" t="s">
        <v>45</v>
      </c>
      <c r="C7" s="299" t="s">
        <v>0</v>
      </c>
      <c r="D7" s="139">
        <v>0.03</v>
      </c>
      <c r="E7" s="233"/>
      <c r="F7" s="319" t="s">
        <v>662</v>
      </c>
      <c r="G7" s="335">
        <v>0.71153846153846145</v>
      </c>
      <c r="H7" s="235"/>
      <c r="I7" s="319" t="s">
        <v>8</v>
      </c>
      <c r="J7" s="378">
        <v>0.25840000000000002</v>
      </c>
      <c r="K7" s="312"/>
      <c r="L7" s="319" t="s">
        <v>175</v>
      </c>
      <c r="M7" s="322"/>
      <c r="N7" s="243"/>
      <c r="O7" s="237"/>
      <c r="P7" s="245"/>
      <c r="Q7" s="246"/>
      <c r="R7" s="237"/>
      <c r="S7" s="237"/>
      <c r="T7" s="237"/>
      <c r="U7" s="316"/>
      <c r="V7" s="237"/>
      <c r="W7" s="243"/>
      <c r="X7" s="237"/>
      <c r="Y7" s="245"/>
      <c r="Z7" s="357" t="s">
        <v>32</v>
      </c>
      <c r="AA7" s="358"/>
      <c r="AB7" s="359">
        <f>$G$7*$G$8*$G$9*G$20*$J8</f>
        <v>6.2194153846153837E-3</v>
      </c>
      <c r="AC7" s="246"/>
      <c r="AD7" s="628" t="s">
        <v>411</v>
      </c>
      <c r="AE7" s="611">
        <f>G10</f>
        <v>5</v>
      </c>
      <c r="AF7" s="245"/>
      <c r="AG7" s="245"/>
      <c r="AH7" s="245"/>
      <c r="AI7" s="245"/>
      <c r="AJ7" s="245"/>
      <c r="AK7" s="245"/>
      <c r="AL7" s="245"/>
      <c r="AM7" s="245"/>
      <c r="AN7" s="245"/>
      <c r="AO7" s="245"/>
      <c r="AP7" s="245"/>
      <c r="AQ7" s="245"/>
      <c r="AS7" s="231">
        <f t="shared" si="1"/>
        <v>3</v>
      </c>
      <c r="AT7" s="277">
        <f>IF(ISNUMBER(AS7),AW6,0)</f>
        <v>106.38297872340425</v>
      </c>
      <c r="AU7" s="277"/>
      <c r="AV7" s="277">
        <f t="shared" si="2"/>
        <v>20.212765957446809</v>
      </c>
      <c r="AW7" s="277">
        <f t="shared" si="6"/>
        <v>106.38297872340425</v>
      </c>
      <c r="AX7" s="413">
        <f t="shared" si="0"/>
        <v>20.212765957446809</v>
      </c>
      <c r="AY7" s="278">
        <f t="shared" si="3"/>
        <v>6.8306303745020891E-2</v>
      </c>
      <c r="AZ7" s="231">
        <f t="shared" si="4"/>
        <v>6.250994415349935E-2</v>
      </c>
      <c r="BA7" s="231"/>
    </row>
    <row r="8" spans="1:54" ht="24.95" customHeight="1" thickBot="1" x14ac:dyDescent="0.3">
      <c r="A8" s="245"/>
      <c r="B8" s="801"/>
      <c r="C8" s="293"/>
      <c r="D8" s="293"/>
      <c r="E8" s="272"/>
      <c r="F8" s="321" t="s">
        <v>6</v>
      </c>
      <c r="G8" s="244">
        <v>0.6</v>
      </c>
      <c r="H8" s="236"/>
      <c r="I8" s="612" t="s">
        <v>9</v>
      </c>
      <c r="J8" s="376">
        <v>0.12139999999999999</v>
      </c>
      <c r="K8" s="313"/>
      <c r="L8" s="612" t="s">
        <v>169</v>
      </c>
      <c r="M8" s="613"/>
      <c r="N8" s="243"/>
      <c r="O8" s="237"/>
      <c r="P8" s="245"/>
      <c r="Q8" s="802" t="s">
        <v>191</v>
      </c>
      <c r="R8" s="237"/>
      <c r="S8" s="618" t="s">
        <v>306</v>
      </c>
      <c r="T8" s="803" t="s">
        <v>34</v>
      </c>
      <c r="U8" s="803"/>
      <c r="V8" s="803" t="s">
        <v>152</v>
      </c>
      <c r="W8" s="804"/>
      <c r="X8" s="237"/>
      <c r="Y8" s="245"/>
      <c r="Z8" s="357" t="s">
        <v>38</v>
      </c>
      <c r="AA8" s="358"/>
      <c r="AB8" s="359">
        <f>$G$7*$G$8*$G$9*G$20</f>
        <v>5.1230769230769226E-2</v>
      </c>
      <c r="AC8" s="371"/>
      <c r="AD8" s="372" t="s">
        <v>668</v>
      </c>
      <c r="AE8" s="373">
        <f>(AE7*M19)/S5</f>
        <v>26.121492863012779</v>
      </c>
      <c r="AF8" s="245"/>
      <c r="AG8" s="245"/>
      <c r="AH8" s="245"/>
      <c r="AI8" s="245"/>
      <c r="AJ8" s="245"/>
      <c r="AK8" s="245"/>
      <c r="AL8" s="245"/>
      <c r="AM8" s="245"/>
      <c r="AN8" s="245"/>
      <c r="AO8" s="245"/>
      <c r="AP8" s="245"/>
      <c r="AQ8" s="245"/>
      <c r="AS8" s="231">
        <f t="shared" si="1"/>
        <v>4</v>
      </c>
      <c r="AT8" s="277">
        <f t="shared" si="5"/>
        <v>106.38297872340425</v>
      </c>
      <c r="AU8" s="277"/>
      <c r="AV8" s="277">
        <f t="shared" si="2"/>
        <v>20.212765957446809</v>
      </c>
      <c r="AW8" s="277">
        <f t="shared" si="6"/>
        <v>106.38297872340425</v>
      </c>
      <c r="AX8" s="413">
        <f t="shared" si="0"/>
        <v>20.212765957446809</v>
      </c>
      <c r="AY8" s="278">
        <f t="shared" si="3"/>
        <v>6.8306303745020891E-2</v>
      </c>
      <c r="AZ8" s="231">
        <f t="shared" si="4"/>
        <v>6.0689266168445978E-2</v>
      </c>
      <c r="BA8" s="231"/>
    </row>
    <row r="9" spans="1:54" ht="33.75" x14ac:dyDescent="0.25">
      <c r="A9" s="245"/>
      <c r="B9" s="801"/>
      <c r="C9" s="805" t="s">
        <v>14</v>
      </c>
      <c r="D9" s="805"/>
      <c r="E9" s="233"/>
      <c r="F9" s="612" t="s">
        <v>146</v>
      </c>
      <c r="G9" s="613">
        <v>0.6</v>
      </c>
      <c r="H9" s="236"/>
      <c r="I9" s="612" t="s">
        <v>164</v>
      </c>
      <c r="J9" s="376">
        <v>1</v>
      </c>
      <c r="K9" s="313"/>
      <c r="L9" s="612" t="s">
        <v>170</v>
      </c>
      <c r="M9" s="613"/>
      <c r="N9" s="243"/>
      <c r="O9" s="237"/>
      <c r="P9" s="245"/>
      <c r="Q9" s="802"/>
      <c r="R9" s="620" t="s">
        <v>44</v>
      </c>
      <c r="S9" s="619">
        <f>J11*($T$5*AB14*J14*J7+$V$5*J7)</f>
        <v>2.7298895039060401E-2</v>
      </c>
      <c r="T9" s="806">
        <f>S9/(J17/J9)</f>
        <v>3.41236187988255E-2</v>
      </c>
      <c r="U9" s="806"/>
      <c r="V9" s="807">
        <f>($G$10*$M$19)/T9</f>
        <v>2490.9433111744179</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20.212765957446809</v>
      </c>
      <c r="AW9" s="277">
        <f t="shared" si="6"/>
        <v>106.38297872340425</v>
      </c>
      <c r="AX9" s="413">
        <f t="shared" si="0"/>
        <v>20.212765957446809</v>
      </c>
      <c r="AY9" s="278">
        <f t="shared" si="3"/>
        <v>6.8306303745020891E-2</v>
      </c>
      <c r="AZ9" s="231">
        <f t="shared" si="4"/>
        <v>5.8921617639267947E-2</v>
      </c>
      <c r="BA9" s="231"/>
    </row>
    <row r="10" spans="1:54" ht="39.75" customHeight="1" x14ac:dyDescent="0.25">
      <c r="A10" s="245"/>
      <c r="B10" s="801"/>
      <c r="C10" s="290" t="s">
        <v>3</v>
      </c>
      <c r="D10" s="291">
        <v>0.19</v>
      </c>
      <c r="E10" s="283"/>
      <c r="F10" s="612" t="s">
        <v>323</v>
      </c>
      <c r="G10" s="466">
        <v>5</v>
      </c>
      <c r="H10" s="284"/>
      <c r="I10" s="612" t="s">
        <v>165</v>
      </c>
      <c r="J10" s="376">
        <v>1</v>
      </c>
      <c r="K10" s="313"/>
      <c r="L10" s="612" t="s">
        <v>184</v>
      </c>
      <c r="M10" s="613"/>
      <c r="N10" s="243"/>
      <c r="O10" s="237"/>
      <c r="P10" s="245"/>
      <c r="Q10" s="802"/>
      <c r="R10" s="620" t="s">
        <v>496</v>
      </c>
      <c r="S10" s="619">
        <f>J20*($T$5*AB15*J15*J8+$V$5*J8)</f>
        <v>1.1649750352165552E-2</v>
      </c>
      <c r="T10" s="806">
        <f>S10/(J18/J10)</f>
        <v>1.2841435573374726E-2</v>
      </c>
      <c r="U10" s="806"/>
      <c r="V10" s="807">
        <f>($G$10*$M$19)/T10</f>
        <v>6619.1976367687384</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20.212765957446809</v>
      </c>
      <c r="AW10" s="277">
        <f t="shared" si="6"/>
        <v>106.38297872340425</v>
      </c>
      <c r="AX10" s="413">
        <f t="shared" si="0"/>
        <v>20.212765957446809</v>
      </c>
      <c r="AY10" s="278">
        <f t="shared" si="3"/>
        <v>6.8306303745020891E-2</v>
      </c>
      <c r="AZ10" s="231">
        <f t="shared" si="4"/>
        <v>5.720545401870674E-2</v>
      </c>
      <c r="BA10" s="231"/>
      <c r="BB10" s="498"/>
    </row>
    <row r="11" spans="1:54" ht="33" customHeight="1" x14ac:dyDescent="0.25">
      <c r="A11" s="245"/>
      <c r="B11" s="801"/>
      <c r="C11" s="296" t="s">
        <v>5</v>
      </c>
      <c r="D11" s="297">
        <v>0.5</v>
      </c>
      <c r="E11" s="234"/>
      <c r="F11" s="612" t="s">
        <v>301</v>
      </c>
      <c r="G11" s="466">
        <v>1.4</v>
      </c>
      <c r="H11" s="237"/>
      <c r="I11" s="612" t="s">
        <v>322</v>
      </c>
      <c r="J11" s="376">
        <v>1</v>
      </c>
      <c r="K11" s="313"/>
      <c r="L11" s="612" t="s">
        <v>183</v>
      </c>
      <c r="M11" s="613"/>
      <c r="N11" s="243"/>
      <c r="O11" s="245"/>
      <c r="P11" s="245"/>
      <c r="Q11" s="802"/>
      <c r="R11" s="620" t="s">
        <v>38</v>
      </c>
      <c r="S11" s="619" t="s">
        <v>408</v>
      </c>
      <c r="T11" s="806">
        <f>M18*((1/S39)*(1/M20)*T5*AB16+(1/R39)*M19*G10)</f>
        <v>4.2727570128868964E-2</v>
      </c>
      <c r="U11" s="806">
        <f>(1/S39)*(1/M20)*T5+1/R39*(G10*S5)</f>
        <v>2.9822153158912252E-2</v>
      </c>
      <c r="V11" s="807">
        <f>($G$10*$M$19)/T11</f>
        <v>1989.347855345736</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20.212765957446809</v>
      </c>
      <c r="AW11" s="277">
        <f t="shared" si="6"/>
        <v>106.38297872340425</v>
      </c>
      <c r="AX11" s="413">
        <f t="shared" si="0"/>
        <v>20.212765957446809</v>
      </c>
      <c r="AY11" s="278">
        <f t="shared" si="3"/>
        <v>6.8306303745020891E-2</v>
      </c>
      <c r="AZ11" s="231">
        <f t="shared" si="4"/>
        <v>5.5539275746317222E-2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T6</f>
        <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20.212765957446809</v>
      </c>
      <c r="AW12" s="277">
        <f t="shared" si="6"/>
        <v>106.38297872340425</v>
      </c>
      <c r="AX12" s="413">
        <f t="shared" si="0"/>
        <v>20.212765957446809</v>
      </c>
      <c r="AY12" s="278">
        <f t="shared" si="3"/>
        <v>6.8306303745020891E-2</v>
      </c>
      <c r="AZ12" s="231">
        <f t="shared" si="4"/>
        <v>5.3921626938172068E-2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20.212765957446809</v>
      </c>
      <c r="AW13" s="277">
        <f t="shared" si="6"/>
        <v>106.38297872340425</v>
      </c>
      <c r="AX13" s="413">
        <f t="shared" si="0"/>
        <v>20.212765957446809</v>
      </c>
      <c r="AY13" s="278">
        <f t="shared" si="3"/>
        <v>6.8306303745020891E-2</v>
      </c>
      <c r="AZ13" s="231">
        <f t="shared" si="4"/>
        <v>5.2351094114730157E-2</v>
      </c>
      <c r="BA13" s="231"/>
    </row>
    <row r="14" spans="1:54" ht="35.1" customHeight="1" x14ac:dyDescent="0.25">
      <c r="A14" s="245"/>
      <c r="B14" s="892" t="s">
        <v>214</v>
      </c>
      <c r="C14" s="836" t="s">
        <v>1</v>
      </c>
      <c r="D14" s="838">
        <v>15</v>
      </c>
      <c r="E14" s="233"/>
      <c r="F14" s="622" t="s">
        <v>560</v>
      </c>
      <c r="G14" s="528">
        <v>8</v>
      </c>
      <c r="H14" s="237"/>
      <c r="I14" s="614" t="s">
        <v>11</v>
      </c>
      <c r="J14" s="379">
        <v>1</v>
      </c>
      <c r="K14" s="237"/>
      <c r="L14" s="612" t="s">
        <v>178</v>
      </c>
      <c r="M14" s="613"/>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20.212765957446809</v>
      </c>
      <c r="AW14" s="277">
        <f t="shared" si="6"/>
        <v>106.38297872340425</v>
      </c>
      <c r="AX14" s="413">
        <f t="shared" si="0"/>
        <v>20.212765957446809</v>
      </c>
      <c r="AY14" s="278">
        <f t="shared" si="3"/>
        <v>6.8306303745020891E-2</v>
      </c>
      <c r="AZ14" s="231">
        <f t="shared" si="4"/>
        <v>5.0826304965757435E-2</v>
      </c>
      <c r="BA14" s="231"/>
    </row>
    <row r="15" spans="1:54" ht="21" customHeight="1" thickBot="1" x14ac:dyDescent="0.3">
      <c r="A15" s="245"/>
      <c r="B15" s="892"/>
      <c r="C15" s="837"/>
      <c r="D15" s="839"/>
      <c r="E15" s="234"/>
      <c r="F15" s="836" t="s">
        <v>2</v>
      </c>
      <c r="G15" s="917">
        <v>1.7608179999999999E-3</v>
      </c>
      <c r="H15" s="237"/>
      <c r="I15" s="818" t="s">
        <v>10</v>
      </c>
      <c r="J15" s="820">
        <v>0.9</v>
      </c>
      <c r="K15" s="314"/>
      <c r="L15" s="320" t="s">
        <v>181</v>
      </c>
      <c r="M15" s="334"/>
      <c r="N15" s="243"/>
      <c r="O15" s="237"/>
      <c r="P15" s="245"/>
      <c r="Q15" s="802"/>
      <c r="R15" s="624">
        <f>BA5</f>
        <v>0.83736234126321163</v>
      </c>
      <c r="S15" s="624">
        <f>AZ4</f>
        <v>0.31632022465180309</v>
      </c>
      <c r="T15" s="835">
        <f>R15+S15</f>
        <v>1.1536825659150147</v>
      </c>
      <c r="U15" s="835"/>
      <c r="V15" s="806">
        <f>T15/(Rebecca!Q39/Rebecca!D19)</f>
        <v>4.3378464478404559E-3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20.212765957446809</v>
      </c>
      <c r="AW15" s="277">
        <f t="shared" si="6"/>
        <v>106.38297872340425</v>
      </c>
      <c r="AX15" s="413">
        <f t="shared" si="0"/>
        <v>20.212765957446809</v>
      </c>
      <c r="AY15" s="278">
        <f t="shared" si="3"/>
        <v>6.8306303745020891E-2</v>
      </c>
      <c r="AZ15" s="231">
        <f t="shared" si="4"/>
        <v>4.9345927151220811E-2</v>
      </c>
      <c r="BA15" s="231"/>
    </row>
    <row r="16" spans="1:54" ht="21" customHeight="1" thickBot="1" x14ac:dyDescent="0.3">
      <c r="A16" s="245"/>
      <c r="B16" s="892"/>
      <c r="C16" s="841" t="s">
        <v>507</v>
      </c>
      <c r="D16" s="842">
        <v>0.1</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20.212765957446809</v>
      </c>
      <c r="AW16" s="277">
        <f t="shared" si="6"/>
        <v>106.38297872340425</v>
      </c>
      <c r="AX16" s="413">
        <f t="shared" si="0"/>
        <v>20.212765957446809</v>
      </c>
      <c r="AY16" s="278">
        <f t="shared" si="3"/>
        <v>6.8306303745020891E-2</v>
      </c>
      <c r="AZ16" s="231">
        <f t="shared" si="4"/>
        <v>4.7908667137107591E-2</v>
      </c>
      <c r="BA16" s="231"/>
    </row>
    <row r="17" spans="1:54" ht="21" customHeight="1" x14ac:dyDescent="0.25">
      <c r="A17" s="245"/>
      <c r="B17" s="892"/>
      <c r="C17" s="836"/>
      <c r="D17" s="843"/>
      <c r="E17" s="234"/>
      <c r="F17" s="841" t="s">
        <v>216</v>
      </c>
      <c r="G17" s="916">
        <v>20</v>
      </c>
      <c r="H17" s="237"/>
      <c r="I17" s="294" t="s">
        <v>28</v>
      </c>
      <c r="J17" s="381">
        <v>0.8</v>
      </c>
      <c r="K17" s="315"/>
      <c r="L17" s="850" t="s">
        <v>38</v>
      </c>
      <c r="M17" s="850"/>
      <c r="N17" s="243"/>
      <c r="O17" s="237"/>
      <c r="P17" s="245"/>
      <c r="Q17" s="617"/>
      <c r="R17" s="410" t="s">
        <v>414</v>
      </c>
      <c r="S17" s="453">
        <f>$T9/$T$9</f>
        <v>1</v>
      </c>
      <c r="T17" s="851">
        <f>$T9/$T$10</f>
        <v>2.6573056107198005</v>
      </c>
      <c r="U17" s="852"/>
      <c r="V17" s="453">
        <f>$T9/$T$11</f>
        <v>0.79863232793034056</v>
      </c>
      <c r="W17" s="454">
        <f>$T9/$V$15</f>
        <v>7.8664884082776902</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20.212765957446809</v>
      </c>
      <c r="AW17" s="277">
        <f t="shared" si="6"/>
        <v>106.38297872340425</v>
      </c>
      <c r="AX17" s="413">
        <f t="shared" si="0"/>
        <v>20.212765957446809</v>
      </c>
      <c r="AY17" s="278">
        <f t="shared" si="3"/>
        <v>6.8306303745020891E-2</v>
      </c>
      <c r="AZ17" s="231">
        <f t="shared" si="4"/>
        <v>4.6513269065153004E-2</v>
      </c>
      <c r="BA17" s="231"/>
    </row>
    <row r="18" spans="1:54" ht="18" customHeight="1" x14ac:dyDescent="0.25">
      <c r="A18" s="245"/>
      <c r="B18" s="892"/>
      <c r="C18" s="837"/>
      <c r="D18" s="844"/>
      <c r="E18" s="234"/>
      <c r="F18" s="836"/>
      <c r="G18" s="848"/>
      <c r="H18" s="237"/>
      <c r="I18" s="853" t="s">
        <v>7</v>
      </c>
      <c r="J18" s="882">
        <v>0.90720000000000001</v>
      </c>
      <c r="K18" s="315"/>
      <c r="L18" s="612" t="s">
        <v>519</v>
      </c>
      <c r="M18" s="137">
        <v>0.86</v>
      </c>
      <c r="N18" s="243"/>
      <c r="O18" s="237"/>
      <c r="P18" s="245"/>
      <c r="Q18" s="617"/>
      <c r="R18" s="884" t="s">
        <v>415</v>
      </c>
      <c r="S18" s="885">
        <f>$T10/$T$9</f>
        <v>0.37632103585147059</v>
      </c>
      <c r="T18" s="858">
        <f>$T10/$T$10</f>
        <v>1</v>
      </c>
      <c r="U18" s="859"/>
      <c r="V18" s="885">
        <f>$T10/$T$11</f>
        <v>0.30054214491121706</v>
      </c>
      <c r="W18" s="890">
        <f>$T10/$V$15</f>
        <v>2.9603250663166465</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20.212765957446809</v>
      </c>
      <c r="AW18" s="277">
        <f t="shared" si="6"/>
        <v>106.38297872340425</v>
      </c>
      <c r="AX18" s="413">
        <f t="shared" si="0"/>
        <v>20.212765957446809</v>
      </c>
      <c r="AY18" s="278">
        <f t="shared" si="3"/>
        <v>6.8306303745020891E-2</v>
      </c>
      <c r="AZ18" s="231">
        <f t="shared" si="4"/>
        <v>4.5158513655488348E-2</v>
      </c>
      <c r="BA18" s="231"/>
    </row>
    <row r="19" spans="1:54" ht="24" customHeight="1" x14ac:dyDescent="0.25">
      <c r="A19" s="245"/>
      <c r="B19" s="892"/>
      <c r="C19" s="836" t="s">
        <v>19</v>
      </c>
      <c r="D19" s="856">
        <v>0.8</v>
      </c>
      <c r="E19" s="234"/>
      <c r="F19" s="837"/>
      <c r="G19" s="849"/>
      <c r="H19" s="237"/>
      <c r="I19" s="854"/>
      <c r="J19" s="883"/>
      <c r="K19" s="315"/>
      <c r="L19" s="612" t="s">
        <v>520</v>
      </c>
      <c r="M19" s="506">
        <v>17</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20.212765957446809</v>
      </c>
      <c r="AW19" s="277">
        <f t="shared" si="6"/>
        <v>106.38297872340425</v>
      </c>
      <c r="AX19" s="413">
        <f t="shared" si="0"/>
        <v>30.851063829787236</v>
      </c>
      <c r="AY19" s="278">
        <f t="shared" si="3"/>
        <v>0.10246648604975306</v>
      </c>
      <c r="AZ19" s="231">
        <f t="shared" si="4"/>
        <v>6.576933827879311E-2</v>
      </c>
      <c r="BA19" s="231"/>
    </row>
    <row r="20" spans="1:54" ht="35.1" customHeight="1" x14ac:dyDescent="0.25">
      <c r="A20" s="245"/>
      <c r="B20" s="892"/>
      <c r="C20" s="855"/>
      <c r="D20" s="857"/>
      <c r="E20" s="234"/>
      <c r="F20" s="308" t="s">
        <v>199</v>
      </c>
      <c r="G20" s="306">
        <v>0.2</v>
      </c>
      <c r="H20" s="237"/>
      <c r="I20" s="305" t="s">
        <v>321</v>
      </c>
      <c r="J20" s="304">
        <v>1</v>
      </c>
      <c r="K20" s="314"/>
      <c r="L20" s="320" t="s">
        <v>433</v>
      </c>
      <c r="M20" s="137">
        <v>1</v>
      </c>
      <c r="N20" s="243"/>
      <c r="O20" s="237"/>
      <c r="P20" s="237"/>
      <c r="Q20" s="617"/>
      <c r="R20" s="410" t="s">
        <v>416</v>
      </c>
      <c r="S20" s="453">
        <f>$T11/$T$9</f>
        <v>1.2521406472381411</v>
      </c>
      <c r="T20" s="851">
        <f>$T11/$T$10</f>
        <v>3.327320367316235</v>
      </c>
      <c r="U20" s="852"/>
      <c r="V20" s="453">
        <f>$T11/$T$11</f>
        <v>1</v>
      </c>
      <c r="W20" s="454">
        <f>$T11/$V$15</f>
        <v>9.849949887032162</v>
      </c>
      <c r="X20" s="237"/>
      <c r="Y20" s="245"/>
      <c r="Z20" s="245"/>
      <c r="AA20" s="245"/>
      <c r="AB20" s="245"/>
      <c r="AC20" s="245"/>
      <c r="AD20" s="245"/>
      <c r="AE20" s="245"/>
      <c r="AF20" s="245"/>
      <c r="AG20" s="245"/>
      <c r="AH20" s="245"/>
      <c r="AI20" s="245"/>
      <c r="AJ20" s="245"/>
      <c r="AK20" s="245"/>
      <c r="AL20" s="245"/>
      <c r="AM20" s="245"/>
      <c r="AN20" s="245"/>
      <c r="AO20" s="245"/>
      <c r="AP20" s="245"/>
      <c r="AQ20" s="245"/>
      <c r="AS20" s="231" t="str">
        <f t="shared" si="1"/>
        <v/>
      </c>
      <c r="AT20" s="277">
        <f t="shared" si="5"/>
        <v>0</v>
      </c>
      <c r="AU20" s="277"/>
      <c r="AV20" s="277">
        <f t="shared" si="2"/>
        <v>0</v>
      </c>
      <c r="AW20" s="277">
        <f t="shared" si="6"/>
        <v>0</v>
      </c>
      <c r="AX20" s="413">
        <f t="shared" si="0"/>
        <v>0</v>
      </c>
      <c r="AY20" s="278">
        <f t="shared" si="3"/>
        <v>0</v>
      </c>
      <c r="AZ20" s="231">
        <f t="shared" si="4"/>
        <v>0</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0.12712152463705756</v>
      </c>
      <c r="T21" s="862">
        <f>$V15/$T$10</f>
        <v>0.33780074066130839</v>
      </c>
      <c r="U21" s="863"/>
      <c r="V21" s="455">
        <f>$V15/$T$11</f>
        <v>0.1015233591509474</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t="str">
        <f t="shared" si="1"/>
        <v/>
      </c>
      <c r="AT21" s="277">
        <f t="shared" si="5"/>
        <v>0</v>
      </c>
      <c r="AU21" s="277"/>
      <c r="AV21" s="277">
        <f t="shared" si="2"/>
        <v>0</v>
      </c>
      <c r="AW21" s="277">
        <f t="shared" si="6"/>
        <v>0</v>
      </c>
      <c r="AX21" s="413">
        <f t="shared" si="0"/>
        <v>0</v>
      </c>
      <c r="AY21" s="278">
        <f t="shared" si="3"/>
        <v>0</v>
      </c>
      <c r="AZ21" s="231">
        <f t="shared" si="4"/>
        <v>0</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t="str">
        <f t="shared" si="1"/>
        <v/>
      </c>
      <c r="AT22" s="277">
        <f t="shared" si="5"/>
        <v>0</v>
      </c>
      <c r="AU22" s="277"/>
      <c r="AV22" s="277">
        <f t="shared" si="2"/>
        <v>0</v>
      </c>
      <c r="AW22" s="277">
        <f t="shared" si="6"/>
        <v>0</v>
      </c>
      <c r="AX22" s="413">
        <f t="shared" si="0"/>
        <v>0</v>
      </c>
      <c r="AY22" s="278">
        <f t="shared" si="3"/>
        <v>0</v>
      </c>
      <c r="AZ22" s="231">
        <f t="shared" si="4"/>
        <v>0</v>
      </c>
      <c r="BA22" s="231"/>
    </row>
    <row r="23" spans="1:54" ht="10.5" customHeight="1" x14ac:dyDescent="0.25">
      <c r="A23" s="245"/>
      <c r="B23" s="245"/>
      <c r="C23" s="245"/>
      <c r="D23" s="245"/>
      <c r="E23" s="237"/>
      <c r="F23" s="864" t="s">
        <v>34</v>
      </c>
      <c r="G23" s="256" t="s">
        <v>33</v>
      </c>
      <c r="H23" s="257"/>
      <c r="I23" s="450">
        <f>T9</f>
        <v>3.41236187988255E-2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t="str">
        <f t="shared" si="1"/>
        <v/>
      </c>
      <c r="AT23" s="277">
        <f t="shared" si="5"/>
        <v>0</v>
      </c>
      <c r="AU23" s="277"/>
      <c r="AV23" s="277">
        <f t="shared" si="2"/>
        <v>0</v>
      </c>
      <c r="AW23" s="277">
        <f t="shared" si="6"/>
        <v>0</v>
      </c>
      <c r="AX23" s="413">
        <f t="shared" si="0"/>
        <v>0</v>
      </c>
      <c r="AY23" s="278">
        <f t="shared" si="3"/>
        <v>0</v>
      </c>
      <c r="AZ23" s="231">
        <f t="shared" si="4"/>
        <v>0</v>
      </c>
      <c r="BA23" s="231"/>
    </row>
    <row r="24" spans="1:54" ht="12" customHeight="1" thickBot="1" x14ac:dyDescent="0.3">
      <c r="A24" s="245"/>
      <c r="B24" s="245"/>
      <c r="C24" s="245"/>
      <c r="D24" s="245"/>
      <c r="E24" s="237"/>
      <c r="F24" s="865"/>
      <c r="G24" s="260" t="s">
        <v>32</v>
      </c>
      <c r="H24" s="261"/>
      <c r="I24" s="451">
        <f>T10</f>
        <v>1.2841435573374726E-2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t="str">
        <f t="shared" si="1"/>
        <v/>
      </c>
      <c r="AT24" s="277">
        <f t="shared" si="5"/>
        <v>0</v>
      </c>
      <c r="AU24" s="277"/>
      <c r="AV24" s="277">
        <f t="shared" si="2"/>
        <v>0</v>
      </c>
      <c r="AW24" s="277">
        <f t="shared" si="6"/>
        <v>0</v>
      </c>
      <c r="AX24" s="413">
        <f t="shared" si="0"/>
        <v>0</v>
      </c>
      <c r="AY24" s="278">
        <f t="shared" si="3"/>
        <v>0</v>
      </c>
      <c r="AZ24" s="231">
        <f t="shared" si="4"/>
        <v>0</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f>(R39/S39)*T5</f>
        <v>86.93040679492465</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4.3378464478404559E-3</v>
      </c>
      <c r="J26" s="262"/>
      <c r="K26" s="263"/>
      <c r="L26" s="262"/>
      <c r="M26" s="262"/>
      <c r="N26" s="262"/>
      <c r="O26" s="262"/>
      <c r="P26" s="237"/>
      <c r="Q26" s="866"/>
      <c r="R26" s="344" t="s">
        <v>42</v>
      </c>
      <c r="S26" s="457">
        <f>T9*$R$39</f>
        <v>118.08589567775134</v>
      </c>
      <c r="T26" s="458"/>
      <c r="U26" s="459" t="s">
        <v>42</v>
      </c>
      <c r="V26" s="459"/>
      <c r="W26" s="460">
        <f>S26/S$25</f>
        <v>1.3583957562320492</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1.2402869818191757</v>
      </c>
      <c r="J27" s="262"/>
      <c r="K27" s="263"/>
      <c r="L27" s="262"/>
      <c r="M27" s="262"/>
      <c r="N27" s="262"/>
      <c r="O27" s="262"/>
      <c r="P27" s="237"/>
      <c r="Q27" s="867"/>
      <c r="R27" s="344" t="s">
        <v>32</v>
      </c>
      <c r="S27" s="457">
        <f>T10*$R$39</f>
        <v>44.438206580900079</v>
      </c>
      <c r="T27" s="458"/>
      <c r="U27" s="459" t="s">
        <v>32</v>
      </c>
      <c r="V27" s="459"/>
      <c r="W27" s="460">
        <f>S27/S$25</f>
        <v>0.51119289808148649</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T12*$R$39</f>
        <v>#DIV/0!</v>
      </c>
      <c r="T28" s="458"/>
      <c r="U28" s="459" t="s">
        <v>168</v>
      </c>
      <c r="V28" s="459"/>
      <c r="W28" s="460" t="e">
        <f>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7.8664884082776902</v>
      </c>
      <c r="H29" s="268" t="s">
        <v>40</v>
      </c>
      <c r="I29" s="265"/>
      <c r="J29" s="265"/>
      <c r="K29" s="269"/>
      <c r="L29" s="237"/>
      <c r="M29" s="237"/>
      <c r="N29" s="237"/>
      <c r="O29" s="262"/>
      <c r="P29" s="237"/>
      <c r="R29" s="344" t="s">
        <v>14</v>
      </c>
      <c r="S29" s="457">
        <f>V15*$R$39</f>
        <v>15.011259096688274</v>
      </c>
      <c r="T29" s="458"/>
      <c r="U29" s="459" t="s">
        <v>14</v>
      </c>
      <c r="V29" s="459"/>
      <c r="W29" s="460">
        <f>S29/S$25</f>
        <v>0.17268133959272686</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2.9603250663166465</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t="str">
        <f>IFERROR(I25/I$26,"-")</f>
        <v>-</v>
      </c>
      <c r="H31" s="268" t="s">
        <v>40</v>
      </c>
      <c r="I31" s="265"/>
      <c r="J31" s="265"/>
      <c r="K31" s="269"/>
      <c r="L31" s="237"/>
      <c r="M31" s="237"/>
      <c r="N31" s="237"/>
      <c r="O31" s="262"/>
      <c r="P31" s="237"/>
      <c r="Q31" s="341"/>
      <c r="R31" s="343" t="s">
        <v>42</v>
      </c>
      <c r="S31" s="457">
        <f>IFERROR(IF(S26-S$25&gt;0,S26-S$25,"N/A"),"N/A")</f>
        <v>31.155488882826688</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2490.9433111744179</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6619.1976367687384</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1989.347855345736</v>
      </c>
      <c r="J35" s="237"/>
      <c r="K35" s="243"/>
      <c r="L35" s="237"/>
      <c r="M35" s="237"/>
      <c r="N35" s="237"/>
      <c r="O35" s="237"/>
      <c r="P35" s="245"/>
      <c r="Q35" s="285"/>
      <c r="R35" s="898" t="s">
        <v>523</v>
      </c>
      <c r="S35" s="899"/>
      <c r="T35" s="899"/>
      <c r="U35" s="899"/>
      <c r="V35" s="899"/>
      <c r="W35" s="465">
        <f>$G$10*M19</f>
        <v>85</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[7]Parameters!#REF!</xm:f>
          </x14:formula1>
          <xm:sqref>M7</xm:sqref>
        </x14:dataValidation>
        <x14:dataValidation type="list" allowBlank="1" showInputMessage="1">
          <x14:formula1>
            <xm:f>[7]Parameters!#REF!</xm:f>
          </x14:formula1>
          <xm:sqref>M10</xm:sqref>
        </x14:dataValidation>
        <x14:dataValidation type="list" allowBlank="1" showInputMessage="1">
          <x14:formula1>
            <xm:f>[7]Parameters!#REF!</xm:f>
          </x14:formula1>
          <xm:sqref>J15:J16</xm:sqref>
        </x14:dataValidation>
        <x14:dataValidation type="list" allowBlank="1" showInputMessage="1">
          <x14:formula1>
            <xm:f>[7]Parameters!#REF!</xm:f>
          </x14:formula1>
          <xm:sqref>G9</xm:sqref>
        </x14:dataValidation>
        <x14:dataValidation type="list" allowBlank="1" showInputMessage="1">
          <x14:formula1>
            <xm:f>[7]Parameters!#REF!</xm:f>
          </x14:formula1>
          <xm:sqref>D11</xm:sqref>
        </x14:dataValidation>
        <x14:dataValidation type="list" allowBlank="1" showInputMessage="1">
          <x14:formula1>
            <xm:f>[7]Parameters!#REF!</xm:f>
          </x14:formula1>
          <xm:sqref>D19:D20</xm:sqref>
        </x14:dataValidation>
        <x14:dataValidation type="list" allowBlank="1" showInputMessage="1">
          <x14:formula1>
            <xm:f>[7]Parameters!#REF!</xm:f>
          </x14:formula1>
          <xm:sqref>G7</xm:sqref>
        </x14:dataValidation>
        <x14:dataValidation type="list" allowBlank="1" showInputMessage="1">
          <x14:formula1>
            <xm:f>[7]Parameters!#REF!</xm:f>
          </x14:formula1>
          <xm:sqref>M19</xm:sqref>
        </x14:dataValidation>
        <x14:dataValidation type="list" allowBlank="1" showInputMessage="1">
          <x14:formula1>
            <xm:f>[7]Parameters!#REF!</xm:f>
          </x14:formula1>
          <xm:sqref>D16:D18</xm:sqref>
        </x14:dataValidation>
        <x14:dataValidation type="list" allowBlank="1" showInputMessage="1">
          <x14:formula1>
            <xm:f>[7]Parameters!#REF!</xm:f>
          </x14:formula1>
          <xm:sqref>J9</xm:sqref>
        </x14:dataValidation>
        <x14:dataValidation type="list" allowBlank="1" showInputMessage="1">
          <x14:formula1>
            <xm:f>[7]Parameters!#REF!</xm:f>
          </x14:formula1>
          <xm:sqref>G14</xm:sqref>
        </x14:dataValidation>
        <x14:dataValidation type="list" allowBlank="1" showInputMessage="1">
          <x14:formula1>
            <xm:f>[7]Parameters!#REF!</xm:f>
          </x14:formula1>
          <xm:sqref>M18</xm:sqref>
        </x14:dataValidation>
        <x14:dataValidation type="list" allowBlank="1" showInputMessage="1">
          <x14:formula1>
            <xm:f>[7]Parameters!#REF!</xm:f>
          </x14:formula1>
          <xm:sqref>M20</xm:sqref>
        </x14:dataValidation>
        <x14:dataValidation type="list" allowBlank="1" showInputMessage="1">
          <x14:formula1>
            <xm:f>[7]Parameters!#REF!</xm:f>
          </x14:formula1>
          <xm:sqref>G11</xm:sqref>
        </x14:dataValidation>
        <x14:dataValidation type="list" allowBlank="1" showInputMessage="1">
          <x14:formula1>
            <xm:f>[7]Parameters!#REF!</xm:f>
          </x14:formula1>
          <xm:sqref>D10</xm:sqref>
        </x14:dataValidation>
        <x14:dataValidation type="list" allowBlank="1" showInputMessage="1">
          <x14:formula1>
            <xm:f>[7]Parameters!#REF!</xm:f>
          </x14:formula1>
          <xm:sqref>D14</xm:sqref>
        </x14:dataValidation>
        <x14:dataValidation type="list" allowBlank="1" showInputMessage="1">
          <x14:formula1>
            <xm:f>[7]Parameters!#REF!</xm:f>
          </x14:formula1>
          <xm:sqref>G15:G16</xm:sqref>
        </x14:dataValidation>
        <x14:dataValidation type="list" allowBlank="1" showInputMessage="1">
          <x14:formula1>
            <xm:f>[7]Parameters!#REF!</xm:f>
          </x14:formula1>
          <xm:sqref>G17:G19</xm:sqref>
        </x14:dataValidation>
        <x14:dataValidation type="list" allowBlank="1" showInputMessage="1">
          <x14:formula1>
            <xm:f>[7]Parameters!#REF!</xm:f>
          </x14:formula1>
          <xm:sqref>J14</xm:sqref>
        </x14:dataValidation>
        <x14:dataValidation type="list" allowBlank="1" showInputMessage="1">
          <x14:formula1>
            <xm:f>[7]Parameters!#REF!</xm:f>
          </x14:formula1>
          <xm:sqref>J11</xm:sqref>
        </x14:dataValidation>
        <x14:dataValidation type="list" allowBlank="1" showInputMessage="1">
          <x14:formula1>
            <xm:f>[7]Parameters!#REF!</xm:f>
          </x14:formula1>
          <xm:sqref>M15</xm:sqref>
        </x14:dataValidation>
        <x14:dataValidation type="list" allowBlank="1" showInputMessage="1">
          <x14:formula1>
            <xm:f>[7]Parameters!#REF!</xm:f>
          </x14:formula1>
          <xm:sqref>M14</xm:sqref>
        </x14:dataValidation>
        <x14:dataValidation type="list" allowBlank="1" showInputMessage="1">
          <x14:formula1>
            <xm:f>[7]Parameters!#REF!</xm:f>
          </x14:formula1>
          <xm:sqref>M12</xm:sqref>
        </x14:dataValidation>
        <x14:dataValidation type="list" allowBlank="1" showInputMessage="1">
          <x14:formula1>
            <xm:f>[7]Parameters!#REF!</xm:f>
          </x14:formula1>
          <xm:sqref>M11</xm:sqref>
        </x14:dataValidation>
        <x14:dataValidation type="list" allowBlank="1" showInputMessage="1">
          <x14:formula1>
            <xm:f>[7]Parameters!#REF!</xm:f>
          </x14:formula1>
          <xm:sqref>M9</xm:sqref>
        </x14:dataValidation>
        <x14:dataValidation type="list" allowBlank="1" showInputMessage="1">
          <x14:formula1>
            <xm:f>[7]Parameters!#REF!</xm:f>
          </x14:formula1>
          <xm:sqref>M8</xm:sqref>
        </x14:dataValidation>
        <x14:dataValidation type="list" allowBlank="1" showInputMessage="1">
          <x14:formula1>
            <xm:f>[7]Parameters!#REF!</xm:f>
          </x14:formula1>
          <xm:sqref>J8</xm:sqref>
        </x14:dataValidation>
        <x14:dataValidation type="list" allowBlank="1" showInputMessage="1">
          <x14:formula1>
            <xm:f>[7]Parameters!#REF!</xm:f>
          </x14:formula1>
          <xm:sqref>K10</xm:sqref>
        </x14:dataValidation>
        <x14:dataValidation type="list" allowBlank="1" showInputMessage="1">
          <x14:formula1>
            <xm:f>[7]Parameters!#REF!</xm:f>
          </x14:formula1>
          <xm:sqref>J7</xm:sqref>
        </x14:dataValidation>
        <x14:dataValidation type="list" allowBlank="1" showInputMessage="1">
          <x14:formula1>
            <xm:f>[7]Parameters!#REF!</xm:f>
          </x14:formula1>
          <xm:sqref>K7</xm:sqref>
        </x14:dataValidation>
        <x14:dataValidation type="list" allowBlank="1" showInputMessage="1">
          <x14:formula1>
            <xm:f>[7]Parameters!#REF!</xm:f>
          </x14:formula1>
          <xm:sqref>J10</xm:sqref>
        </x14:dataValidation>
        <x14:dataValidation type="list" allowBlank="1" showInputMessage="1">
          <x14:formula1>
            <xm:f>[7]Parameters!#REF!</xm:f>
          </x14:formula1>
          <xm:sqref>J17:K17</xm:sqref>
        </x14:dataValidation>
        <x14:dataValidation type="list" allowBlank="1" showInputMessage="1">
          <x14:formula1>
            <xm:f>[7]Parameters!#REF!</xm:f>
          </x14:formula1>
          <xm:sqref>J20:K20</xm:sqref>
        </x14:dataValidation>
        <x14:dataValidation type="list" allowBlank="1" showInputMessage="1">
          <x14:formula1>
            <xm:f>[7]Parameters!#REF!</xm:f>
          </x14:formula1>
          <xm:sqref>D7</xm:sqref>
        </x14:dataValidation>
        <x14:dataValidation type="list" allowBlank="1" showInputMessage="1">
          <x14:formula1>
            <xm:f>[7]Parameters!#REF!</xm:f>
          </x14:formula1>
          <xm:sqref>G20</xm:sqref>
        </x14:dataValidation>
        <x14:dataValidation type="list" allowBlank="1" showInputMessage="1">
          <x14:formula1>
            <xm:f>[7]Parameters!#REF!</xm:f>
          </x14:formula1>
          <xm:sqref>G8</xm:sqref>
        </x14:dataValidation>
        <x14:dataValidation type="list" allowBlank="1" showInputMessage="1">
          <x14:formula1>
            <xm:f>[7]Parameters!#REF!</xm:f>
          </x14:formula1>
          <xm:sqref>G10</xm:sqref>
        </x14:dataValidation>
        <x14:dataValidation type="list" allowBlank="1" showInputMessage="1">
          <x14:formula1>
            <xm:f>[7]Parameters!#REF!</xm:f>
          </x14:formula1>
          <xm:sqref>J18:K19</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C6" workbookViewId="0">
      <selection activeCell="G7" sqref="G7"/>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0.18206978838571686</v>
      </c>
      <c r="S5" s="616">
        <f>R5*(1-1/(1+D7)^G17)/(1-1/(1+D7))</f>
        <v>3.2803587824322071</v>
      </c>
      <c r="T5" s="798">
        <f>S5*G11*G7*G9*G20*G8/G39</f>
        <v>0.10518926419351077</v>
      </c>
      <c r="U5" s="798"/>
      <c r="V5" s="799">
        <f>$G$15*$G$10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10.638297872340425</v>
      </c>
      <c r="AW5" s="277">
        <f>AT5</f>
        <v>106.38297872340425</v>
      </c>
      <c r="AX5" s="413">
        <f t="shared" si="0"/>
        <v>10.638297872340425</v>
      </c>
      <c r="AY5" s="278">
        <f t="shared" ref="AY5:AY68" si="3">IF(ISNUMBER(AS5),LN(AX5+$J$39)-LN($J$39),0)</f>
        <v>3.6531480770634062E-2</v>
      </c>
      <c r="AZ5" s="231">
        <f t="shared" ref="AZ5:AZ68" si="4">IF(ISNUMBER(AS5),AY5/(1+$D$7)^AS5,0)</f>
        <v>3.4791886448222911E-2</v>
      </c>
      <c r="BA5" s="231">
        <f>SUM(AZ5:AZ111)</f>
        <v>0.48763202530504579</v>
      </c>
      <c r="BB5" s="232">
        <f>SUM(AZ5:AZ23)</f>
        <v>0.44149466659186715</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1.9492973626426189E-2</v>
      </c>
      <c r="S6" s="616">
        <f>R6*(1-1/(1+D7)^G17)/(1-1/(1+D7))</f>
        <v>0.35120569863958195</v>
      </c>
      <c r="T6" s="798">
        <f>S6*M8*M9*M14*(V39/U39)*G11</f>
        <v>7.1204286235865572E-3</v>
      </c>
      <c r="U6" s="798"/>
      <c r="V6" s="799">
        <v>0</v>
      </c>
      <c r="W6" s="811"/>
      <c r="X6" s="237"/>
      <c r="Y6" s="245"/>
      <c r="Z6" s="357" t="s">
        <v>42</v>
      </c>
      <c r="AA6" s="358"/>
      <c r="AB6" s="359">
        <f>$G$7*$G$8*$G$9*G$20*$J7</f>
        <v>1.3777920000000001E-2</v>
      </c>
      <c r="AC6" s="246"/>
      <c r="AD6" s="628" t="s">
        <v>669</v>
      </c>
      <c r="AE6" s="611">
        <f>M19</f>
        <v>36.525000000000006</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10.638297872340425</v>
      </c>
      <c r="AW6" s="277">
        <f t="shared" ref="AW6:AW69" si="6">AT6</f>
        <v>106.38297872340425</v>
      </c>
      <c r="AX6" s="413">
        <f t="shared" si="0"/>
        <v>10.638297872340425</v>
      </c>
      <c r="AY6" s="278">
        <f t="shared" si="3"/>
        <v>3.6531480770634062E-2</v>
      </c>
      <c r="AZ6" s="231">
        <f t="shared" si="4"/>
        <v>3.3135129950688492E-2</v>
      </c>
      <c r="BA6" s="231"/>
    </row>
    <row r="7" spans="1:54" ht="26.1" customHeight="1" x14ac:dyDescent="0.25">
      <c r="A7" s="245"/>
      <c r="B7" s="801" t="s">
        <v>45</v>
      </c>
      <c r="C7" s="299" t="s">
        <v>0</v>
      </c>
      <c r="D7" s="139">
        <v>0.05</v>
      </c>
      <c r="E7" s="233"/>
      <c r="F7" s="319" t="s">
        <v>662</v>
      </c>
      <c r="G7" s="244">
        <v>1</v>
      </c>
      <c r="H7" s="235"/>
      <c r="I7" s="319" t="s">
        <v>8</v>
      </c>
      <c r="J7" s="378">
        <v>0.24959999999999999</v>
      </c>
      <c r="K7" s="312"/>
      <c r="L7" s="319" t="s">
        <v>175</v>
      </c>
      <c r="M7" s="322">
        <v>0.08</v>
      </c>
      <c r="N7" s="243"/>
      <c r="O7" s="237"/>
      <c r="P7" s="245"/>
      <c r="Q7" s="246"/>
      <c r="R7" s="237"/>
      <c r="S7" s="237"/>
      <c r="T7" s="237"/>
      <c r="U7" s="316"/>
      <c r="V7" s="237"/>
      <c r="W7" s="243"/>
      <c r="X7" s="237"/>
      <c r="Y7" s="245"/>
      <c r="Z7" s="357" t="s">
        <v>32</v>
      </c>
      <c r="AA7" s="358"/>
      <c r="AB7" s="359">
        <f>$G$7*$G$8*$G$9*G$20*$J8</f>
        <v>1.0703280000000001E-2</v>
      </c>
      <c r="AC7" s="246"/>
      <c r="AD7" s="628" t="s">
        <v>411</v>
      </c>
      <c r="AE7" s="611">
        <f>G10</f>
        <v>3</v>
      </c>
      <c r="AF7" s="245"/>
      <c r="AG7" s="245"/>
      <c r="AH7" s="245"/>
      <c r="AI7" s="245"/>
      <c r="AJ7" s="245"/>
      <c r="AK7" s="245"/>
      <c r="AL7" s="245"/>
      <c r="AM7" s="245"/>
      <c r="AN7" s="245"/>
      <c r="AO7" s="245"/>
      <c r="AP7" s="245"/>
      <c r="AQ7" s="245"/>
      <c r="AS7" s="231">
        <f t="shared" si="1"/>
        <v>3</v>
      </c>
      <c r="AT7" s="277">
        <f>IF(ISNUMBER(AS7),AW6,0)</f>
        <v>106.38297872340425</v>
      </c>
      <c r="AU7" s="277"/>
      <c r="AV7" s="277">
        <f t="shared" si="2"/>
        <v>10.638297872340425</v>
      </c>
      <c r="AW7" s="277">
        <f t="shared" si="6"/>
        <v>106.38297872340425</v>
      </c>
      <c r="AX7" s="413">
        <f t="shared" si="0"/>
        <v>10.638297872340425</v>
      </c>
      <c r="AY7" s="278">
        <f t="shared" si="3"/>
        <v>3.6531480770634062E-2</v>
      </c>
      <c r="AZ7" s="231">
        <f t="shared" si="4"/>
        <v>3.1557266619703324E-2</v>
      </c>
      <c r="BA7" s="231"/>
    </row>
    <row r="8" spans="1:54" ht="24.95" customHeight="1" thickBot="1" x14ac:dyDescent="0.3">
      <c r="A8" s="245"/>
      <c r="B8" s="801"/>
      <c r="C8" s="293"/>
      <c r="D8" s="293"/>
      <c r="E8" s="272"/>
      <c r="F8" s="321" t="s">
        <v>6</v>
      </c>
      <c r="G8" s="244">
        <v>0.23</v>
      </c>
      <c r="H8" s="236"/>
      <c r="I8" s="612" t="s">
        <v>9</v>
      </c>
      <c r="J8" s="376">
        <v>0.19389999999999999</v>
      </c>
      <c r="K8" s="313"/>
      <c r="L8" s="612" t="s">
        <v>169</v>
      </c>
      <c r="M8" s="613">
        <v>0.9</v>
      </c>
      <c r="N8" s="243"/>
      <c r="O8" s="237"/>
      <c r="P8" s="245"/>
      <c r="Q8" s="802" t="s">
        <v>191</v>
      </c>
      <c r="R8" s="237"/>
      <c r="S8" s="618" t="s">
        <v>306</v>
      </c>
      <c r="T8" s="803" t="s">
        <v>34</v>
      </c>
      <c r="U8" s="803"/>
      <c r="V8" s="803" t="s">
        <v>152</v>
      </c>
      <c r="W8" s="804"/>
      <c r="X8" s="237"/>
      <c r="Y8" s="245"/>
      <c r="Z8" s="357" t="s">
        <v>38</v>
      </c>
      <c r="AA8" s="358"/>
      <c r="AB8" s="359">
        <f>$G$7*$G$8*$G$9*G$20</f>
        <v>5.5200000000000006E-2</v>
      </c>
      <c r="AC8" s="371"/>
      <c r="AD8" s="372" t="s">
        <v>668</v>
      </c>
      <c r="AE8" s="373">
        <f>(AE7*M19)/S5</f>
        <v>33.403358372511967</v>
      </c>
      <c r="AF8" s="245"/>
      <c r="AG8" s="245"/>
      <c r="AH8" s="245"/>
      <c r="AI8" s="245"/>
      <c r="AJ8" s="245"/>
      <c r="AK8" s="245"/>
      <c r="AL8" s="245"/>
      <c r="AM8" s="245"/>
      <c r="AN8" s="245"/>
      <c r="AO8" s="245"/>
      <c r="AP8" s="245"/>
      <c r="AQ8" s="245"/>
      <c r="AS8" s="231">
        <f t="shared" si="1"/>
        <v>4</v>
      </c>
      <c r="AT8" s="277">
        <f t="shared" si="5"/>
        <v>106.38297872340425</v>
      </c>
      <c r="AU8" s="277"/>
      <c r="AV8" s="277">
        <f t="shared" si="2"/>
        <v>10.638297872340425</v>
      </c>
      <c r="AW8" s="277">
        <f t="shared" si="6"/>
        <v>106.38297872340425</v>
      </c>
      <c r="AX8" s="413">
        <f t="shared" si="0"/>
        <v>10.638297872340425</v>
      </c>
      <c r="AY8" s="278">
        <f t="shared" si="3"/>
        <v>3.6531480770634062E-2</v>
      </c>
      <c r="AZ8" s="231">
        <f t="shared" si="4"/>
        <v>3.005453963781269E-2</v>
      </c>
      <c r="BA8" s="231"/>
    </row>
    <row r="9" spans="1:54" ht="33.75" x14ac:dyDescent="0.25">
      <c r="A9" s="245"/>
      <c r="B9" s="801"/>
      <c r="C9" s="805" t="s">
        <v>14</v>
      </c>
      <c r="D9" s="805"/>
      <c r="E9" s="233"/>
      <c r="F9" s="612" t="s">
        <v>146</v>
      </c>
      <c r="G9" s="613">
        <v>0.8</v>
      </c>
      <c r="H9" s="236"/>
      <c r="I9" s="612" t="s">
        <v>164</v>
      </c>
      <c r="J9" s="376">
        <v>1.35</v>
      </c>
      <c r="K9" s="313"/>
      <c r="L9" s="612" t="s">
        <v>170</v>
      </c>
      <c r="M9" s="613">
        <v>0.7</v>
      </c>
      <c r="N9" s="243"/>
      <c r="O9" s="237"/>
      <c r="P9" s="245"/>
      <c r="Q9" s="802"/>
      <c r="R9" s="620" t="s">
        <v>44</v>
      </c>
      <c r="S9" s="619">
        <f>J11*($T$5*AB14*J14*J7+$V$5*J7)</f>
        <v>2.1231780463047221E-2</v>
      </c>
      <c r="T9" s="806">
        <f>S9/(J17/J9)</f>
        <v>3.6747312339889426E-2</v>
      </c>
      <c r="U9" s="806"/>
      <c r="V9" s="807">
        <f>($G$10*$M$19)/T9</f>
        <v>2981.8507265647208</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10.638297872340425</v>
      </c>
      <c r="AW9" s="277">
        <f t="shared" si="6"/>
        <v>106.38297872340425</v>
      </c>
      <c r="AX9" s="413">
        <f t="shared" si="0"/>
        <v>10.638297872340425</v>
      </c>
      <c r="AY9" s="278">
        <f t="shared" si="3"/>
        <v>3.6531480770634062E-2</v>
      </c>
      <c r="AZ9" s="231">
        <f t="shared" si="4"/>
        <v>2.8623371083631131E-2</v>
      </c>
      <c r="BA9" s="231"/>
    </row>
    <row r="10" spans="1:54" ht="39.75" customHeight="1" x14ac:dyDescent="0.25">
      <c r="A10" s="245"/>
      <c r="B10" s="801"/>
      <c r="C10" s="290" t="s">
        <v>3</v>
      </c>
      <c r="D10" s="291">
        <v>0.1</v>
      </c>
      <c r="E10" s="283"/>
      <c r="F10" s="612" t="s">
        <v>323</v>
      </c>
      <c r="G10" s="466">
        <v>3</v>
      </c>
      <c r="H10" s="284"/>
      <c r="I10" s="612" t="s">
        <v>165</v>
      </c>
      <c r="J10" s="376">
        <v>1</v>
      </c>
      <c r="K10" s="313"/>
      <c r="L10" s="612" t="s">
        <v>184</v>
      </c>
      <c r="M10" s="613">
        <v>2</v>
      </c>
      <c r="N10" s="243"/>
      <c r="O10" s="237"/>
      <c r="P10" s="245"/>
      <c r="Q10" s="802"/>
      <c r="R10" s="620" t="s">
        <v>496</v>
      </c>
      <c r="S10" s="619">
        <f>J20*($T$5*AB15*J15*J8+$V$5*J8)</f>
        <v>1.9380846325009565E-2</v>
      </c>
      <c r="T10" s="806">
        <f>S10/(J18/J10)</f>
        <v>2.1363366760372093E-2</v>
      </c>
      <c r="U10" s="806"/>
      <c r="V10" s="807">
        <f>($G$10*$M$19)/T10</f>
        <v>5129.1072811264839</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10.638297872340425</v>
      </c>
      <c r="AW10" s="277">
        <f t="shared" si="6"/>
        <v>106.38297872340425</v>
      </c>
      <c r="AX10" s="413">
        <f t="shared" si="0"/>
        <v>10.638297872340425</v>
      </c>
      <c r="AY10" s="278">
        <f t="shared" si="3"/>
        <v>3.6531480770634062E-2</v>
      </c>
      <c r="AZ10" s="231">
        <f t="shared" si="4"/>
        <v>2.7260353412982032E-2</v>
      </c>
      <c r="BA10" s="231"/>
      <c r="BB10" s="498"/>
    </row>
    <row r="11" spans="1:54" ht="33" customHeight="1" x14ac:dyDescent="0.25">
      <c r="A11" s="245"/>
      <c r="B11" s="801"/>
      <c r="C11" s="296" t="s">
        <v>5</v>
      </c>
      <c r="D11" s="297">
        <v>0.5</v>
      </c>
      <c r="E11" s="234"/>
      <c r="F11" s="612" t="s">
        <v>301</v>
      </c>
      <c r="G11" s="466">
        <v>1.4</v>
      </c>
      <c r="H11" s="237"/>
      <c r="I11" s="612" t="s">
        <v>322</v>
      </c>
      <c r="J11" s="376">
        <v>0.77</v>
      </c>
      <c r="K11" s="313"/>
      <c r="L11" s="612" t="s">
        <v>183</v>
      </c>
      <c r="M11" s="613">
        <v>0.8</v>
      </c>
      <c r="N11" s="243"/>
      <c r="O11" s="245"/>
      <c r="P11" s="245"/>
      <c r="Q11" s="802"/>
      <c r="R11" s="620" t="s">
        <v>38</v>
      </c>
      <c r="S11" s="619" t="s">
        <v>408</v>
      </c>
      <c r="T11" s="806">
        <f>M18*((1/S39)*(1/M20)*T5*AB16+(1/R39)*M19*G10)</f>
        <v>3.8964125434493173E-2</v>
      </c>
      <c r="U11" s="806">
        <f>(1/S39)*(1/M20)*T5+1/R39*(G10*S5)</f>
        <v>1.6486725610928132E-2</v>
      </c>
      <c r="V11" s="807">
        <f>($G$10*$M$19)/T11</f>
        <v>2812.2022187875991</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10.638297872340425</v>
      </c>
      <c r="AW11" s="277">
        <f t="shared" si="6"/>
        <v>106.38297872340425</v>
      </c>
      <c r="AX11" s="413">
        <f t="shared" si="0"/>
        <v>10.638297872340425</v>
      </c>
      <c r="AY11" s="278">
        <f t="shared" si="3"/>
        <v>3.6531480770634062E-2</v>
      </c>
      <c r="AZ11" s="231">
        <f t="shared" si="4"/>
        <v>2.5962241345697169E-2</v>
      </c>
      <c r="BA11" s="231"/>
    </row>
    <row r="12" spans="1:54" ht="22.7" customHeight="1" x14ac:dyDescent="0.25">
      <c r="A12" s="245"/>
      <c r="B12" s="246"/>
      <c r="C12" s="240"/>
      <c r="D12" s="239"/>
      <c r="E12" s="233"/>
      <c r="F12" s="240"/>
      <c r="G12" s="377"/>
      <c r="H12" s="240"/>
      <c r="I12" s="240"/>
      <c r="J12" s="377"/>
      <c r="K12" s="237"/>
      <c r="L12" s="822" t="s">
        <v>176</v>
      </c>
      <c r="M12" s="824">
        <v>0.5</v>
      </c>
      <c r="N12" s="243"/>
      <c r="O12" s="237"/>
      <c r="P12" s="245"/>
      <c r="Q12" s="292"/>
      <c r="R12" s="826" t="s">
        <v>174</v>
      </c>
      <c r="S12" s="828">
        <f>T6</f>
        <v>7.1204286235865572E-3</v>
      </c>
      <c r="T12" s="806">
        <f>M12*S12/(M7/M10)</f>
        <v>8.9005357794831957E-2</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10.638297872340425</v>
      </c>
      <c r="AW12" s="277">
        <f t="shared" si="6"/>
        <v>106.38297872340425</v>
      </c>
      <c r="AX12" s="413">
        <f t="shared" si="0"/>
        <v>10.638297872340425</v>
      </c>
      <c r="AY12" s="278">
        <f t="shared" si="3"/>
        <v>3.6531480770634062E-2</v>
      </c>
      <c r="AZ12" s="231">
        <f t="shared" si="4"/>
        <v>2.4725944138759212E-2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10.638297872340425</v>
      </c>
      <c r="AW13" s="277">
        <f t="shared" si="6"/>
        <v>106.38297872340425</v>
      </c>
      <c r="AX13" s="413">
        <f t="shared" si="0"/>
        <v>10.638297872340425</v>
      </c>
      <c r="AY13" s="278">
        <f t="shared" si="3"/>
        <v>3.6531480770634062E-2</v>
      </c>
      <c r="AZ13" s="231">
        <f t="shared" si="4"/>
        <v>2.3548518227389723E-2</v>
      </c>
      <c r="BA13" s="231"/>
    </row>
    <row r="14" spans="1:54" ht="35.1" customHeight="1" x14ac:dyDescent="0.25">
      <c r="A14" s="245"/>
      <c r="B14" s="892" t="s">
        <v>214</v>
      </c>
      <c r="C14" s="836" t="s">
        <v>1</v>
      </c>
      <c r="D14" s="838">
        <v>20</v>
      </c>
      <c r="E14" s="233"/>
      <c r="F14" s="622" t="s">
        <v>560</v>
      </c>
      <c r="G14" s="528">
        <v>8</v>
      </c>
      <c r="H14" s="237"/>
      <c r="I14" s="614" t="s">
        <v>11</v>
      </c>
      <c r="J14" s="379">
        <v>1</v>
      </c>
      <c r="K14" s="237"/>
      <c r="L14" s="612" t="s">
        <v>178</v>
      </c>
      <c r="M14" s="613">
        <v>0.8</v>
      </c>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10.638297872340425</v>
      </c>
      <c r="AW14" s="277">
        <f t="shared" si="6"/>
        <v>106.38297872340425</v>
      </c>
      <c r="AX14" s="413">
        <f t="shared" si="0"/>
        <v>10.638297872340425</v>
      </c>
      <c r="AY14" s="278">
        <f t="shared" si="3"/>
        <v>3.6531480770634062E-2</v>
      </c>
      <c r="AZ14" s="231">
        <f t="shared" si="4"/>
        <v>2.2427160216561642E-2</v>
      </c>
      <c r="BA14" s="231"/>
    </row>
    <row r="15" spans="1:54" ht="21" customHeight="1" thickBot="1" x14ac:dyDescent="0.3">
      <c r="A15" s="245"/>
      <c r="B15" s="892"/>
      <c r="C15" s="837"/>
      <c r="D15" s="839"/>
      <c r="E15" s="234"/>
      <c r="F15" s="836" t="s">
        <v>2</v>
      </c>
      <c r="G15" s="917">
        <v>1.7608179999999999E-3</v>
      </c>
      <c r="H15" s="237"/>
      <c r="I15" s="818" t="s">
        <v>10</v>
      </c>
      <c r="J15" s="820">
        <v>0.9</v>
      </c>
      <c r="K15" s="314"/>
      <c r="L15" s="320" t="s">
        <v>181</v>
      </c>
      <c r="M15" s="334">
        <v>3.5999999999999997E-2</v>
      </c>
      <c r="N15" s="243"/>
      <c r="O15" s="237"/>
      <c r="P15" s="245"/>
      <c r="Q15" s="802"/>
      <c r="R15" s="624">
        <f>BA5</f>
        <v>0.48763202530504579</v>
      </c>
      <c r="S15" s="624">
        <f>AZ4</f>
        <v>0.31632022465180309</v>
      </c>
      <c r="T15" s="835">
        <f>R15+S15</f>
        <v>0.80395224995684889</v>
      </c>
      <c r="U15" s="835"/>
      <c r="V15" s="806">
        <f>T15/(Andrew!Q39/Andrew!D19)</f>
        <v>3.1286605759320734E-3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10.638297872340425</v>
      </c>
      <c r="AW15" s="277">
        <f t="shared" si="6"/>
        <v>106.38297872340425</v>
      </c>
      <c r="AX15" s="413">
        <f t="shared" si="0"/>
        <v>10.638297872340425</v>
      </c>
      <c r="AY15" s="278">
        <f t="shared" si="3"/>
        <v>3.6531480770634062E-2</v>
      </c>
      <c r="AZ15" s="231">
        <f t="shared" si="4"/>
        <v>2.1359200206249183E-2</v>
      </c>
      <c r="BA15" s="231"/>
    </row>
    <row r="16" spans="1:54" ht="21" customHeight="1" thickBot="1" x14ac:dyDescent="0.3">
      <c r="A16" s="245"/>
      <c r="B16" s="892"/>
      <c r="C16" s="841" t="s">
        <v>507</v>
      </c>
      <c r="D16" s="842">
        <v>0.25</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10.638297872340425</v>
      </c>
      <c r="AW16" s="277">
        <f t="shared" si="6"/>
        <v>106.38297872340425</v>
      </c>
      <c r="AX16" s="413">
        <f t="shared" si="0"/>
        <v>10.638297872340425</v>
      </c>
      <c r="AY16" s="278">
        <f t="shared" si="3"/>
        <v>3.6531480770634062E-2</v>
      </c>
      <c r="AZ16" s="231">
        <f t="shared" si="4"/>
        <v>2.0342095434523033E-2</v>
      </c>
      <c r="BA16" s="231"/>
    </row>
    <row r="17" spans="1:54" ht="21" customHeight="1" x14ac:dyDescent="0.25">
      <c r="A17" s="245"/>
      <c r="B17" s="892"/>
      <c r="C17" s="836"/>
      <c r="D17" s="843"/>
      <c r="E17" s="234"/>
      <c r="F17" s="841" t="s">
        <v>216</v>
      </c>
      <c r="G17" s="916">
        <v>40</v>
      </c>
      <c r="H17" s="237"/>
      <c r="I17" s="294" t="s">
        <v>28</v>
      </c>
      <c r="J17" s="381">
        <v>0.78</v>
      </c>
      <c r="K17" s="315"/>
      <c r="L17" s="850" t="s">
        <v>38</v>
      </c>
      <c r="M17" s="850"/>
      <c r="N17" s="243"/>
      <c r="O17" s="237"/>
      <c r="P17" s="245"/>
      <c r="Q17" s="617"/>
      <c r="R17" s="410" t="s">
        <v>414</v>
      </c>
      <c r="S17" s="453">
        <f>$T9/$T$9</f>
        <v>1</v>
      </c>
      <c r="T17" s="851">
        <f>$T9/$T$10</f>
        <v>1.7201086678928217</v>
      </c>
      <c r="U17" s="852"/>
      <c r="V17" s="453">
        <f>$T9/$T$11</f>
        <v>0.94310630432779319</v>
      </c>
      <c r="W17" s="454">
        <f>$T9/$V$15</f>
        <v>11.745381593189242</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10.638297872340425</v>
      </c>
      <c r="AW17" s="277">
        <f t="shared" si="6"/>
        <v>106.38297872340425</v>
      </c>
      <c r="AX17" s="413">
        <f t="shared" si="0"/>
        <v>10.638297872340425</v>
      </c>
      <c r="AY17" s="278">
        <f t="shared" si="3"/>
        <v>3.6531480770634062E-2</v>
      </c>
      <c r="AZ17" s="231">
        <f t="shared" si="4"/>
        <v>1.9373424223355265E-2</v>
      </c>
      <c r="BA17" s="231"/>
    </row>
    <row r="18" spans="1:54" ht="18" customHeight="1" x14ac:dyDescent="0.25">
      <c r="A18" s="245"/>
      <c r="B18" s="892"/>
      <c r="C18" s="837"/>
      <c r="D18" s="844"/>
      <c r="E18" s="234"/>
      <c r="F18" s="836"/>
      <c r="G18" s="848"/>
      <c r="H18" s="237"/>
      <c r="I18" s="853" t="s">
        <v>7</v>
      </c>
      <c r="J18" s="882">
        <v>0.90720000000000001</v>
      </c>
      <c r="K18" s="315"/>
      <c r="L18" s="612" t="s">
        <v>519</v>
      </c>
      <c r="M18" s="137">
        <v>0.86</v>
      </c>
      <c r="N18" s="243"/>
      <c r="O18" s="237"/>
      <c r="P18" s="245"/>
      <c r="Q18" s="617"/>
      <c r="R18" s="884" t="s">
        <v>415</v>
      </c>
      <c r="S18" s="885">
        <f>$T10/$T$9</f>
        <v>0.58135861917667464</v>
      </c>
      <c r="T18" s="858">
        <f>$T10/$T$10</f>
        <v>1</v>
      </c>
      <c r="U18" s="859"/>
      <c r="V18" s="885">
        <f>$T10/$T$11</f>
        <v>0.54828297882082255</v>
      </c>
      <c r="W18" s="890">
        <f>$T10/$V$15</f>
        <v>6.8282788247196278</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10.638297872340425</v>
      </c>
      <c r="AW18" s="277">
        <f t="shared" si="6"/>
        <v>106.38297872340425</v>
      </c>
      <c r="AX18" s="413">
        <f t="shared" si="0"/>
        <v>10.638297872340425</v>
      </c>
      <c r="AY18" s="278">
        <f t="shared" si="3"/>
        <v>3.6531480770634062E-2</v>
      </c>
      <c r="AZ18" s="231">
        <f t="shared" si="4"/>
        <v>1.8450880212719307E-2</v>
      </c>
      <c r="BA18" s="231"/>
    </row>
    <row r="19" spans="1:54" ht="24" customHeight="1" x14ac:dyDescent="0.25">
      <c r="A19" s="245"/>
      <c r="B19" s="892"/>
      <c r="C19" s="836" t="s">
        <v>19</v>
      </c>
      <c r="D19" s="856">
        <v>0.82799999999999996</v>
      </c>
      <c r="E19" s="234"/>
      <c r="F19" s="837"/>
      <c r="G19" s="849"/>
      <c r="H19" s="237"/>
      <c r="I19" s="854"/>
      <c r="J19" s="883"/>
      <c r="K19" s="315"/>
      <c r="L19" s="612" t="s">
        <v>520</v>
      </c>
      <c r="M19" s="506">
        <v>36.525000000000006</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10.638297872340425</v>
      </c>
      <c r="AW19" s="277">
        <f t="shared" si="6"/>
        <v>106.38297872340425</v>
      </c>
      <c r="AX19" s="413">
        <f t="shared" si="0"/>
        <v>10.638297872340425</v>
      </c>
      <c r="AY19" s="278">
        <f t="shared" si="3"/>
        <v>3.6531480770634062E-2</v>
      </c>
      <c r="AZ19" s="231">
        <f t="shared" si="4"/>
        <v>1.7572266869256475E-2</v>
      </c>
      <c r="BA19" s="231"/>
    </row>
    <row r="20" spans="1:54" ht="35.1" customHeight="1" x14ac:dyDescent="0.25">
      <c r="A20" s="245"/>
      <c r="B20" s="892"/>
      <c r="C20" s="855"/>
      <c r="D20" s="857"/>
      <c r="E20" s="234"/>
      <c r="F20" s="308" t="s">
        <v>199</v>
      </c>
      <c r="G20" s="306">
        <v>0.3</v>
      </c>
      <c r="H20" s="237"/>
      <c r="I20" s="305" t="s">
        <v>321</v>
      </c>
      <c r="J20" s="304">
        <v>1</v>
      </c>
      <c r="K20" s="314"/>
      <c r="L20" s="320" t="s">
        <v>433</v>
      </c>
      <c r="M20" s="137">
        <v>2</v>
      </c>
      <c r="N20" s="243"/>
      <c r="O20" s="237"/>
      <c r="P20" s="237"/>
      <c r="Q20" s="617"/>
      <c r="R20" s="410" t="s">
        <v>416</v>
      </c>
      <c r="S20" s="453">
        <f>$T11/$T$9</f>
        <v>1.0603258565986984</v>
      </c>
      <c r="T20" s="851">
        <f>$T11/$T$10</f>
        <v>1.8238756967263019</v>
      </c>
      <c r="U20" s="852"/>
      <c r="V20" s="453">
        <f>$T11/$T$11</f>
        <v>1</v>
      </c>
      <c r="W20" s="454">
        <f>$T11/$V$15</f>
        <v>12.453931798876967</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106.38297872340425</v>
      </c>
      <c r="AU20" s="277"/>
      <c r="AV20" s="277">
        <f t="shared" si="2"/>
        <v>10.638297872340425</v>
      </c>
      <c r="AW20" s="277">
        <f t="shared" si="6"/>
        <v>106.38297872340425</v>
      </c>
      <c r="AX20" s="413">
        <f t="shared" si="0"/>
        <v>10.638297872340425</v>
      </c>
      <c r="AY20" s="278">
        <f t="shared" si="3"/>
        <v>3.6531480770634062E-2</v>
      </c>
      <c r="AZ20" s="231">
        <f t="shared" si="4"/>
        <v>1.6735492256434739E-2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8.513984769808304E-2</v>
      </c>
      <c r="T21" s="862">
        <f>$V15/$T$10</f>
        <v>0.14644979000854735</v>
      </c>
      <c r="U21" s="863"/>
      <c r="V21" s="455">
        <f>$V15/$T$11</f>
        <v>8.0295927113570267E-2</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106.38297872340425</v>
      </c>
      <c r="AU21" s="277"/>
      <c r="AV21" s="277">
        <f t="shared" si="2"/>
        <v>10.638297872340425</v>
      </c>
      <c r="AW21" s="277">
        <f t="shared" si="6"/>
        <v>106.38297872340425</v>
      </c>
      <c r="AX21" s="413">
        <f t="shared" si="0"/>
        <v>10.638297872340425</v>
      </c>
      <c r="AY21" s="278">
        <f t="shared" si="3"/>
        <v>3.6531480770634062E-2</v>
      </c>
      <c r="AZ21" s="231">
        <f t="shared" si="4"/>
        <v>1.593856405374737E-2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106.38297872340425</v>
      </c>
      <c r="AU22" s="277"/>
      <c r="AV22" s="277">
        <f t="shared" si="2"/>
        <v>10.638297872340425</v>
      </c>
      <c r="AW22" s="277">
        <f t="shared" si="6"/>
        <v>106.38297872340425</v>
      </c>
      <c r="AX22" s="413">
        <f t="shared" si="0"/>
        <v>10.638297872340425</v>
      </c>
      <c r="AY22" s="278">
        <f t="shared" si="3"/>
        <v>3.6531480770634062E-2</v>
      </c>
      <c r="AZ22" s="231">
        <f t="shared" si="4"/>
        <v>1.5179584813092733E-2</v>
      </c>
      <c r="BA22" s="231"/>
    </row>
    <row r="23" spans="1:54" ht="10.5" customHeight="1" x14ac:dyDescent="0.25">
      <c r="A23" s="245"/>
      <c r="B23" s="245"/>
      <c r="C23" s="245"/>
      <c r="D23" s="245"/>
      <c r="E23" s="237"/>
      <c r="F23" s="864" t="s">
        <v>34</v>
      </c>
      <c r="G23" s="256" t="s">
        <v>33</v>
      </c>
      <c r="H23" s="257"/>
      <c r="I23" s="450">
        <f>T9</f>
        <v>3.6747312339889426E-2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106.38297872340425</v>
      </c>
      <c r="AU23" s="277"/>
      <c r="AV23" s="277">
        <f t="shared" si="2"/>
        <v>10.638297872340425</v>
      </c>
      <c r="AW23" s="277">
        <f t="shared" si="6"/>
        <v>106.38297872340425</v>
      </c>
      <c r="AX23" s="413">
        <f t="shared" si="0"/>
        <v>10.638297872340425</v>
      </c>
      <c r="AY23" s="278">
        <f t="shared" si="3"/>
        <v>3.6531480770634062E-2</v>
      </c>
      <c r="AZ23" s="231">
        <f t="shared" si="4"/>
        <v>1.4456747441040698E-2</v>
      </c>
      <c r="BA23" s="231"/>
    </row>
    <row r="24" spans="1:54" ht="12" customHeight="1" thickBot="1" x14ac:dyDescent="0.3">
      <c r="A24" s="245"/>
      <c r="B24" s="245"/>
      <c r="C24" s="245"/>
      <c r="D24" s="245"/>
      <c r="E24" s="237"/>
      <c r="F24" s="865"/>
      <c r="G24" s="260" t="s">
        <v>32</v>
      </c>
      <c r="H24" s="261"/>
      <c r="I24" s="451">
        <f>T10</f>
        <v>2.1363366760372093E-2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106.38297872340425</v>
      </c>
      <c r="AU24" s="277"/>
      <c r="AV24" s="277">
        <f t="shared" si="2"/>
        <v>10.638297872340425</v>
      </c>
      <c r="AW24" s="277">
        <f t="shared" si="6"/>
        <v>106.38297872340425</v>
      </c>
      <c r="AX24" s="413">
        <f t="shared" si="0"/>
        <v>37.234042553191486</v>
      </c>
      <c r="AY24" s="278">
        <f t="shared" si="3"/>
        <v>0.12241614799510181</v>
      </c>
      <c r="AZ24" s="231">
        <f t="shared" si="4"/>
        <v>4.6137358713178631E-2</v>
      </c>
      <c r="BA24" s="231"/>
    </row>
    <row r="25" spans="1:54" ht="10.7" customHeight="1" x14ac:dyDescent="0.25">
      <c r="A25" s="245"/>
      <c r="B25" s="792" t="s">
        <v>188</v>
      </c>
      <c r="C25" s="878"/>
      <c r="D25" s="878"/>
      <c r="E25" s="878"/>
      <c r="F25" s="865"/>
      <c r="G25" s="260" t="s">
        <v>168</v>
      </c>
      <c r="H25" s="261"/>
      <c r="I25" s="451">
        <f>T12</f>
        <v>8.9005357794831957E-2</v>
      </c>
      <c r="J25" s="262"/>
      <c r="K25" s="263"/>
      <c r="L25" s="262"/>
      <c r="M25" s="262"/>
      <c r="N25" s="262"/>
      <c r="O25" s="262"/>
      <c r="P25" s="237"/>
      <c r="Q25" s="866"/>
      <c r="R25" s="344" t="s">
        <v>38</v>
      </c>
      <c r="S25" s="457">
        <f>(R39/S39)*T5</f>
        <v>94.423550574298005</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3.1286605759320734E-3</v>
      </c>
      <c r="J26" s="262"/>
      <c r="K26" s="263"/>
      <c r="L26" s="262"/>
      <c r="M26" s="262"/>
      <c r="N26" s="262"/>
      <c r="O26" s="262"/>
      <c r="P26" s="237"/>
      <c r="Q26" s="866"/>
      <c r="R26" s="344" t="s">
        <v>42</v>
      </c>
      <c r="S26" s="457">
        <f>T9*$R$39</f>
        <v>127.16527273934038</v>
      </c>
      <c r="T26" s="458"/>
      <c r="U26" s="459" t="s">
        <v>42</v>
      </c>
      <c r="V26" s="459"/>
      <c r="W26" s="460">
        <f>S26/S$25</f>
        <v>1.3467537702819092</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0.89455379057764106</v>
      </c>
      <c r="J27" s="262"/>
      <c r="K27" s="263"/>
      <c r="L27" s="262"/>
      <c r="M27" s="262"/>
      <c r="N27" s="262"/>
      <c r="O27" s="262"/>
      <c r="P27" s="237"/>
      <c r="Q27" s="867"/>
      <c r="R27" s="344" t="s">
        <v>32</v>
      </c>
      <c r="S27" s="457">
        <f>T10*$R$39</f>
        <v>73.928627366968144</v>
      </c>
      <c r="T27" s="458"/>
      <c r="U27" s="459" t="s">
        <v>32</v>
      </c>
      <c r="V27" s="459"/>
      <c r="W27" s="460">
        <f>S27/S$25</f>
        <v>0.78294691226207125</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f>T12*$R$39</f>
        <v>308.00594325251376</v>
      </c>
      <c r="T28" s="458"/>
      <c r="U28" s="459" t="s">
        <v>168</v>
      </c>
      <c r="V28" s="459"/>
      <c r="W28" s="460">
        <f>S28/S$25</f>
        <v>3.261961040219056</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11.745381593189242</v>
      </c>
      <c r="H29" s="268" t="s">
        <v>40</v>
      </c>
      <c r="I29" s="265"/>
      <c r="J29" s="265"/>
      <c r="K29" s="269"/>
      <c r="L29" s="237"/>
      <c r="M29" s="237"/>
      <c r="N29" s="237"/>
      <c r="O29" s="262"/>
      <c r="P29" s="237"/>
      <c r="R29" s="344" t="s">
        <v>14</v>
      </c>
      <c r="S29" s="457">
        <f>V15*$R$39</f>
        <v>10.826831953512631</v>
      </c>
      <c r="T29" s="458"/>
      <c r="U29" s="459" t="s">
        <v>14</v>
      </c>
      <c r="V29" s="459"/>
      <c r="W29" s="460">
        <f>S29/S$25</f>
        <v>0.11466241088862086</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I24/I$26</f>
        <v>6.8282788247196278</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f>IFERROR(I25/I$26,"-")</f>
        <v>28.448390496407868</v>
      </c>
      <c r="H31" s="268" t="s">
        <v>40</v>
      </c>
      <c r="I31" s="265"/>
      <c r="J31" s="265"/>
      <c r="K31" s="269"/>
      <c r="L31" s="237"/>
      <c r="M31" s="237"/>
      <c r="N31" s="237"/>
      <c r="O31" s="262"/>
      <c r="P31" s="237"/>
      <c r="Q31" s="341"/>
      <c r="R31" s="343" t="s">
        <v>42</v>
      </c>
      <c r="S31" s="457">
        <f>IFERROR(IF(S26-S$25&gt;0,S26-S$25,"N/A"),"N/A")</f>
        <v>32.741722165042376</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2981.8507265647208</v>
      </c>
      <c r="J33" s="262"/>
      <c r="K33" s="263"/>
      <c r="L33" s="237"/>
      <c r="M33" s="237"/>
      <c r="N33" s="237"/>
      <c r="O33" s="262"/>
      <c r="P33" s="237"/>
      <c r="Q33" s="285"/>
      <c r="R33" s="343" t="s">
        <v>168</v>
      </c>
      <c r="S33" s="457">
        <f>IFERROR(IF(S28-S$25&gt;0,S28-S$25,"N/A"),"N/A")</f>
        <v>213.58239267821574</v>
      </c>
      <c r="T33" s="463"/>
      <c r="U33" s="459"/>
      <c r="V33" s="459"/>
      <c r="W33" s="464" t="str">
        <f>IF(AND(S33&lt;&gt;"N/A",S33&gt;=$W$35),R33,"Bednets")</f>
        <v>Iodine</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5129.1072811264839</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2812.2022187875991</v>
      </c>
      <c r="J35" s="237"/>
      <c r="K35" s="243"/>
      <c r="L35" s="237"/>
      <c r="M35" s="237"/>
      <c r="N35" s="237"/>
      <c r="O35" s="237"/>
      <c r="P35" s="245"/>
      <c r="Q35" s="285"/>
      <c r="R35" s="898" t="s">
        <v>523</v>
      </c>
      <c r="S35" s="899"/>
      <c r="T35" s="899"/>
      <c r="U35" s="899"/>
      <c r="V35" s="899"/>
      <c r="W35" s="465">
        <f>$G$10*M19</f>
        <v>109.57500000000002</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7">IF(ISNUMBER(AS69),AU68+AV68,AU68+AV68+AW68*$D$16)</f>
        <v>0</v>
      </c>
      <c r="AY68" s="278">
        <f t="shared" si="3"/>
        <v>0</v>
      </c>
      <c r="AZ68" s="287">
        <f t="shared" si="4"/>
        <v>0</v>
      </c>
      <c r="BA68" s="287"/>
    </row>
    <row r="69" spans="45:53" s="245" customFormat="1" ht="15" x14ac:dyDescent="0.25">
      <c r="AS69" s="287" t="str">
        <f t="shared" ref="AS69:AS111" si="8">IF(AS68&lt;$D$14,AS68+1,"")</f>
        <v/>
      </c>
      <c r="AT69" s="324">
        <f t="shared" si="5"/>
        <v>0</v>
      </c>
      <c r="AU69" s="324"/>
      <c r="AV69" s="324">
        <f t="shared" ref="AV69:AV111" si="9">$D$10*AT69</f>
        <v>0</v>
      </c>
      <c r="AW69" s="324">
        <f t="shared" si="6"/>
        <v>0</v>
      </c>
      <c r="AX69" s="413">
        <f t="shared" si="7"/>
        <v>0</v>
      </c>
      <c r="AY69" s="278">
        <f t="shared" ref="AY69:AY111" si="10">IF(ISNUMBER(AS69),LN(AX69+$J$39)-LN($J$39),0)</f>
        <v>0</v>
      </c>
      <c r="AZ69" s="287">
        <f t="shared" ref="AZ69:AZ111" si="11">IF(ISNUMBER(AS69),AY69/(1+$D$7)^AS69,0)</f>
        <v>0</v>
      </c>
      <c r="BA69" s="287"/>
    </row>
    <row r="70" spans="45:53" s="245" customFormat="1" ht="15" x14ac:dyDescent="0.25">
      <c r="AS70" s="287" t="str">
        <f t="shared" si="8"/>
        <v/>
      </c>
      <c r="AT70" s="324">
        <f t="shared" ref="AT70:AT111" si="12">IF(ISNUMBER(AS70),AW69,0)</f>
        <v>0</v>
      </c>
      <c r="AU70" s="324"/>
      <c r="AV70" s="324">
        <f t="shared" si="9"/>
        <v>0</v>
      </c>
      <c r="AW70" s="324">
        <f t="shared" ref="AW70:AW111" si="13">AT70</f>
        <v>0</v>
      </c>
      <c r="AX70" s="413">
        <f t="shared" si="7"/>
        <v>0</v>
      </c>
      <c r="AY70" s="278">
        <f t="shared" si="10"/>
        <v>0</v>
      </c>
      <c r="AZ70" s="287">
        <f t="shared" si="11"/>
        <v>0</v>
      </c>
      <c r="BA70" s="287"/>
    </row>
    <row r="71" spans="45:53" s="245" customFormat="1" ht="15" x14ac:dyDescent="0.25">
      <c r="AS71" s="287" t="str">
        <f t="shared" si="8"/>
        <v/>
      </c>
      <c r="AT71" s="324">
        <f t="shared" si="12"/>
        <v>0</v>
      </c>
      <c r="AU71" s="324"/>
      <c r="AV71" s="324">
        <f t="shared" si="9"/>
        <v>0</v>
      </c>
      <c r="AW71" s="324">
        <f t="shared" si="13"/>
        <v>0</v>
      </c>
      <c r="AX71" s="413">
        <f t="shared" si="7"/>
        <v>0</v>
      </c>
      <c r="AY71" s="278">
        <f t="shared" si="10"/>
        <v>0</v>
      </c>
      <c r="AZ71" s="287">
        <f t="shared" si="11"/>
        <v>0</v>
      </c>
      <c r="BA71" s="287"/>
    </row>
    <row r="72" spans="45:53" s="245" customFormat="1" ht="15" x14ac:dyDescent="0.25">
      <c r="AS72" s="287" t="str">
        <f t="shared" si="8"/>
        <v/>
      </c>
      <c r="AT72" s="324">
        <f t="shared" si="12"/>
        <v>0</v>
      </c>
      <c r="AU72" s="324"/>
      <c r="AV72" s="324">
        <f t="shared" si="9"/>
        <v>0</v>
      </c>
      <c r="AW72" s="324">
        <f t="shared" si="13"/>
        <v>0</v>
      </c>
      <c r="AX72" s="413">
        <f t="shared" si="7"/>
        <v>0</v>
      </c>
      <c r="AY72" s="278">
        <f t="shared" si="10"/>
        <v>0</v>
      </c>
      <c r="AZ72" s="287">
        <f t="shared" si="11"/>
        <v>0</v>
      </c>
      <c r="BA72" s="287"/>
    </row>
    <row r="73" spans="45:53" s="245" customFormat="1" ht="15" x14ac:dyDescent="0.25">
      <c r="AS73" s="287" t="str">
        <f t="shared" si="8"/>
        <v/>
      </c>
      <c r="AT73" s="324">
        <f t="shared" si="12"/>
        <v>0</v>
      </c>
      <c r="AU73" s="324"/>
      <c r="AV73" s="324">
        <f t="shared" si="9"/>
        <v>0</v>
      </c>
      <c r="AW73" s="324">
        <f t="shared" si="13"/>
        <v>0</v>
      </c>
      <c r="AX73" s="413">
        <f t="shared" si="7"/>
        <v>0</v>
      </c>
      <c r="AY73" s="278">
        <f t="shared" si="10"/>
        <v>0</v>
      </c>
      <c r="AZ73" s="287">
        <f t="shared" si="11"/>
        <v>0</v>
      </c>
      <c r="BA73" s="287"/>
    </row>
    <row r="74" spans="45:53" s="245" customFormat="1" ht="15" x14ac:dyDescent="0.25">
      <c r="AS74" s="287" t="str">
        <f t="shared" si="8"/>
        <v/>
      </c>
      <c r="AT74" s="324">
        <f t="shared" si="12"/>
        <v>0</v>
      </c>
      <c r="AU74" s="324"/>
      <c r="AV74" s="324">
        <f t="shared" si="9"/>
        <v>0</v>
      </c>
      <c r="AW74" s="324">
        <f t="shared" si="13"/>
        <v>0</v>
      </c>
      <c r="AX74" s="413">
        <f t="shared" si="7"/>
        <v>0</v>
      </c>
      <c r="AY74" s="278">
        <f t="shared" si="10"/>
        <v>0</v>
      </c>
      <c r="AZ74" s="287">
        <f t="shared" si="11"/>
        <v>0</v>
      </c>
      <c r="BA74" s="287"/>
    </row>
    <row r="75" spans="45:53" s="245" customFormat="1" ht="15" x14ac:dyDescent="0.25">
      <c r="AS75" s="287" t="str">
        <f t="shared" si="8"/>
        <v/>
      </c>
      <c r="AT75" s="324">
        <f t="shared" si="12"/>
        <v>0</v>
      </c>
      <c r="AU75" s="324"/>
      <c r="AV75" s="324">
        <f t="shared" si="9"/>
        <v>0</v>
      </c>
      <c r="AW75" s="324">
        <f t="shared" si="13"/>
        <v>0</v>
      </c>
      <c r="AX75" s="413">
        <f t="shared" si="7"/>
        <v>0</v>
      </c>
      <c r="AY75" s="278">
        <f t="shared" si="10"/>
        <v>0</v>
      </c>
      <c r="AZ75" s="287">
        <f t="shared" si="11"/>
        <v>0</v>
      </c>
      <c r="BA75" s="287"/>
    </row>
    <row r="76" spans="45:53" s="245" customFormat="1" ht="15" x14ac:dyDescent="0.25">
      <c r="AS76" s="287" t="str">
        <f t="shared" si="8"/>
        <v/>
      </c>
      <c r="AT76" s="324">
        <f t="shared" si="12"/>
        <v>0</v>
      </c>
      <c r="AU76" s="324"/>
      <c r="AV76" s="324">
        <f t="shared" si="9"/>
        <v>0</v>
      </c>
      <c r="AW76" s="324">
        <f t="shared" si="13"/>
        <v>0</v>
      </c>
      <c r="AX76" s="413">
        <f t="shared" si="7"/>
        <v>0</v>
      </c>
      <c r="AY76" s="278">
        <f t="shared" si="10"/>
        <v>0</v>
      </c>
      <c r="AZ76" s="287">
        <f t="shared" si="11"/>
        <v>0</v>
      </c>
      <c r="BA76" s="287"/>
    </row>
    <row r="77" spans="45:53" s="245" customFormat="1" ht="15" x14ac:dyDescent="0.25">
      <c r="AS77" s="287" t="str">
        <f t="shared" si="8"/>
        <v/>
      </c>
      <c r="AT77" s="324">
        <f t="shared" si="12"/>
        <v>0</v>
      </c>
      <c r="AU77" s="324"/>
      <c r="AV77" s="324">
        <f t="shared" si="9"/>
        <v>0</v>
      </c>
      <c r="AW77" s="324">
        <f t="shared" si="13"/>
        <v>0</v>
      </c>
      <c r="AX77" s="413">
        <f t="shared" si="7"/>
        <v>0</v>
      </c>
      <c r="AY77" s="278">
        <f t="shared" si="10"/>
        <v>0</v>
      </c>
      <c r="AZ77" s="287">
        <f t="shared" si="11"/>
        <v>0</v>
      </c>
      <c r="BA77" s="287"/>
    </row>
    <row r="78" spans="45:53" s="245" customFormat="1" ht="15" x14ac:dyDescent="0.25">
      <c r="AS78" s="287" t="str">
        <f t="shared" si="8"/>
        <v/>
      </c>
      <c r="AT78" s="324">
        <f t="shared" si="12"/>
        <v>0</v>
      </c>
      <c r="AU78" s="324"/>
      <c r="AV78" s="324">
        <f t="shared" si="9"/>
        <v>0</v>
      </c>
      <c r="AW78" s="324">
        <f t="shared" si="13"/>
        <v>0</v>
      </c>
      <c r="AX78" s="413">
        <f t="shared" si="7"/>
        <v>0</v>
      </c>
      <c r="AY78" s="278">
        <f t="shared" si="10"/>
        <v>0</v>
      </c>
      <c r="AZ78" s="287">
        <f t="shared" si="11"/>
        <v>0</v>
      </c>
      <c r="BA78" s="287"/>
    </row>
    <row r="79" spans="45:53" s="245" customFormat="1" ht="15" x14ac:dyDescent="0.25">
      <c r="AS79" s="287" t="str">
        <f t="shared" si="8"/>
        <v/>
      </c>
      <c r="AT79" s="324">
        <f t="shared" si="12"/>
        <v>0</v>
      </c>
      <c r="AU79" s="324"/>
      <c r="AV79" s="324">
        <f t="shared" si="9"/>
        <v>0</v>
      </c>
      <c r="AW79" s="324">
        <f t="shared" si="13"/>
        <v>0</v>
      </c>
      <c r="AX79" s="413">
        <f t="shared" si="7"/>
        <v>0</v>
      </c>
      <c r="AY79" s="278">
        <f t="shared" si="10"/>
        <v>0</v>
      </c>
      <c r="AZ79" s="287">
        <f t="shared" si="11"/>
        <v>0</v>
      </c>
      <c r="BA79" s="287"/>
    </row>
    <row r="80" spans="45:53" s="245" customFormat="1" ht="15" x14ac:dyDescent="0.25">
      <c r="AS80" s="287" t="str">
        <f t="shared" si="8"/>
        <v/>
      </c>
      <c r="AT80" s="324">
        <f t="shared" si="12"/>
        <v>0</v>
      </c>
      <c r="AU80" s="324"/>
      <c r="AV80" s="324">
        <f t="shared" si="9"/>
        <v>0</v>
      </c>
      <c r="AW80" s="324">
        <f t="shared" si="13"/>
        <v>0</v>
      </c>
      <c r="AX80" s="413">
        <f t="shared" si="7"/>
        <v>0</v>
      </c>
      <c r="AY80" s="278">
        <f t="shared" si="10"/>
        <v>0</v>
      </c>
      <c r="AZ80" s="287">
        <f t="shared" si="11"/>
        <v>0</v>
      </c>
      <c r="BA80" s="287"/>
    </row>
    <row r="81" spans="45:53" s="245" customFormat="1" ht="15" x14ac:dyDescent="0.25">
      <c r="AS81" s="287" t="str">
        <f t="shared" si="8"/>
        <v/>
      </c>
      <c r="AT81" s="324">
        <f t="shared" si="12"/>
        <v>0</v>
      </c>
      <c r="AU81" s="324"/>
      <c r="AV81" s="324">
        <f t="shared" si="9"/>
        <v>0</v>
      </c>
      <c r="AW81" s="324">
        <f t="shared" si="13"/>
        <v>0</v>
      </c>
      <c r="AX81" s="413">
        <f t="shared" si="7"/>
        <v>0</v>
      </c>
      <c r="AY81" s="278">
        <f t="shared" si="10"/>
        <v>0</v>
      </c>
      <c r="AZ81" s="287">
        <f t="shared" si="11"/>
        <v>0</v>
      </c>
      <c r="BA81" s="287"/>
    </row>
    <row r="82" spans="45:53" s="245" customFormat="1" ht="15" x14ac:dyDescent="0.25">
      <c r="AS82" s="287" t="str">
        <f t="shared" si="8"/>
        <v/>
      </c>
      <c r="AT82" s="324">
        <f t="shared" si="12"/>
        <v>0</v>
      </c>
      <c r="AU82" s="324"/>
      <c r="AV82" s="324">
        <f t="shared" si="9"/>
        <v>0</v>
      </c>
      <c r="AW82" s="324">
        <f t="shared" si="13"/>
        <v>0</v>
      </c>
      <c r="AX82" s="413">
        <f t="shared" si="7"/>
        <v>0</v>
      </c>
      <c r="AY82" s="278">
        <f t="shared" si="10"/>
        <v>0</v>
      </c>
      <c r="AZ82" s="287">
        <f t="shared" si="11"/>
        <v>0</v>
      </c>
      <c r="BA82" s="287"/>
    </row>
    <row r="83" spans="45:53" s="245" customFormat="1" ht="15" x14ac:dyDescent="0.25">
      <c r="AS83" s="287" t="str">
        <f t="shared" si="8"/>
        <v/>
      </c>
      <c r="AT83" s="324">
        <f t="shared" si="12"/>
        <v>0</v>
      </c>
      <c r="AU83" s="324"/>
      <c r="AV83" s="324">
        <f t="shared" si="9"/>
        <v>0</v>
      </c>
      <c r="AW83" s="324">
        <f t="shared" si="13"/>
        <v>0</v>
      </c>
      <c r="AX83" s="413">
        <f t="shared" si="7"/>
        <v>0</v>
      </c>
      <c r="AY83" s="278">
        <f t="shared" si="10"/>
        <v>0</v>
      </c>
      <c r="AZ83" s="287">
        <f t="shared" si="11"/>
        <v>0</v>
      </c>
      <c r="BA83" s="287"/>
    </row>
    <row r="84" spans="45:53" s="245" customFormat="1" ht="15" x14ac:dyDescent="0.25">
      <c r="AS84" s="287" t="str">
        <f t="shared" si="8"/>
        <v/>
      </c>
      <c r="AT84" s="324">
        <f t="shared" si="12"/>
        <v>0</v>
      </c>
      <c r="AU84" s="324"/>
      <c r="AV84" s="324">
        <f t="shared" si="9"/>
        <v>0</v>
      </c>
      <c r="AW84" s="324">
        <f t="shared" si="13"/>
        <v>0</v>
      </c>
      <c r="AX84" s="413">
        <f t="shared" si="7"/>
        <v>0</v>
      </c>
      <c r="AY84" s="278">
        <f t="shared" si="10"/>
        <v>0</v>
      </c>
      <c r="AZ84" s="287">
        <f t="shared" si="11"/>
        <v>0</v>
      </c>
      <c r="BA84" s="287"/>
    </row>
    <row r="85" spans="45:53" s="245" customFormat="1" ht="15" x14ac:dyDescent="0.25">
      <c r="AS85" s="287" t="str">
        <f t="shared" si="8"/>
        <v/>
      </c>
      <c r="AT85" s="324">
        <f t="shared" si="12"/>
        <v>0</v>
      </c>
      <c r="AU85" s="324"/>
      <c r="AV85" s="324">
        <f t="shared" si="9"/>
        <v>0</v>
      </c>
      <c r="AW85" s="324">
        <f t="shared" si="13"/>
        <v>0</v>
      </c>
      <c r="AX85" s="413">
        <f t="shared" si="7"/>
        <v>0</v>
      </c>
      <c r="AY85" s="278">
        <f t="shared" si="10"/>
        <v>0</v>
      </c>
      <c r="AZ85" s="287">
        <f t="shared" si="11"/>
        <v>0</v>
      </c>
      <c r="BA85" s="287"/>
    </row>
    <row r="86" spans="45:53" s="245" customFormat="1" ht="15" x14ac:dyDescent="0.25">
      <c r="AS86" s="287" t="str">
        <f t="shared" si="8"/>
        <v/>
      </c>
      <c r="AT86" s="324">
        <f t="shared" si="12"/>
        <v>0</v>
      </c>
      <c r="AU86" s="324"/>
      <c r="AV86" s="324">
        <f t="shared" si="9"/>
        <v>0</v>
      </c>
      <c r="AW86" s="324">
        <f t="shared" si="13"/>
        <v>0</v>
      </c>
      <c r="AX86" s="413">
        <f t="shared" si="7"/>
        <v>0</v>
      </c>
      <c r="AY86" s="278">
        <f t="shared" si="10"/>
        <v>0</v>
      </c>
      <c r="AZ86" s="287">
        <f t="shared" si="11"/>
        <v>0</v>
      </c>
      <c r="BA86" s="287"/>
    </row>
    <row r="87" spans="45:53" s="245" customFormat="1" ht="15" x14ac:dyDescent="0.25">
      <c r="AS87" s="287" t="str">
        <f t="shared" si="8"/>
        <v/>
      </c>
      <c r="AT87" s="324">
        <f t="shared" si="12"/>
        <v>0</v>
      </c>
      <c r="AU87" s="324"/>
      <c r="AV87" s="324">
        <f t="shared" si="9"/>
        <v>0</v>
      </c>
      <c r="AW87" s="324">
        <f t="shared" si="13"/>
        <v>0</v>
      </c>
      <c r="AX87" s="413">
        <f t="shared" si="7"/>
        <v>0</v>
      </c>
      <c r="AY87" s="278">
        <f t="shared" si="10"/>
        <v>0</v>
      </c>
      <c r="AZ87" s="287">
        <f t="shared" si="11"/>
        <v>0</v>
      </c>
      <c r="BA87" s="287"/>
    </row>
    <row r="88" spans="45:53" s="245" customFormat="1" ht="15" x14ac:dyDescent="0.25">
      <c r="AS88" s="287" t="str">
        <f t="shared" si="8"/>
        <v/>
      </c>
      <c r="AT88" s="324">
        <f t="shared" si="12"/>
        <v>0</v>
      </c>
      <c r="AU88" s="324"/>
      <c r="AV88" s="324">
        <f t="shared" si="9"/>
        <v>0</v>
      </c>
      <c r="AW88" s="324">
        <f t="shared" si="13"/>
        <v>0</v>
      </c>
      <c r="AX88" s="413">
        <f t="shared" si="7"/>
        <v>0</v>
      </c>
      <c r="AY88" s="278">
        <f t="shared" si="10"/>
        <v>0</v>
      </c>
      <c r="AZ88" s="287">
        <f t="shared" si="11"/>
        <v>0</v>
      </c>
      <c r="BA88" s="287"/>
    </row>
    <row r="89" spans="45:53" s="245" customFormat="1" ht="15" x14ac:dyDescent="0.25">
      <c r="AS89" s="287" t="str">
        <f t="shared" si="8"/>
        <v/>
      </c>
      <c r="AT89" s="324">
        <f t="shared" si="12"/>
        <v>0</v>
      </c>
      <c r="AU89" s="324"/>
      <c r="AV89" s="324">
        <f t="shared" si="9"/>
        <v>0</v>
      </c>
      <c r="AW89" s="324">
        <f t="shared" si="13"/>
        <v>0</v>
      </c>
      <c r="AX89" s="413">
        <f t="shared" si="7"/>
        <v>0</v>
      </c>
      <c r="AY89" s="278">
        <f t="shared" si="10"/>
        <v>0</v>
      </c>
      <c r="AZ89" s="287">
        <f t="shared" si="11"/>
        <v>0</v>
      </c>
      <c r="BA89" s="287"/>
    </row>
    <row r="90" spans="45:53" s="245" customFormat="1" ht="15" x14ac:dyDescent="0.25">
      <c r="AS90" s="287" t="str">
        <f t="shared" si="8"/>
        <v/>
      </c>
      <c r="AT90" s="324">
        <f t="shared" si="12"/>
        <v>0</v>
      </c>
      <c r="AU90" s="324"/>
      <c r="AV90" s="324">
        <f t="shared" si="9"/>
        <v>0</v>
      </c>
      <c r="AW90" s="324">
        <f t="shared" si="13"/>
        <v>0</v>
      </c>
      <c r="AX90" s="413">
        <f t="shared" si="7"/>
        <v>0</v>
      </c>
      <c r="AY90" s="278">
        <f t="shared" si="10"/>
        <v>0</v>
      </c>
      <c r="AZ90" s="287">
        <f t="shared" si="11"/>
        <v>0</v>
      </c>
      <c r="BA90" s="287"/>
    </row>
    <row r="91" spans="45:53" s="245" customFormat="1" ht="15" x14ac:dyDescent="0.25">
      <c r="AS91" s="287" t="str">
        <f t="shared" si="8"/>
        <v/>
      </c>
      <c r="AT91" s="324">
        <f t="shared" si="12"/>
        <v>0</v>
      </c>
      <c r="AU91" s="324"/>
      <c r="AV91" s="324">
        <f t="shared" si="9"/>
        <v>0</v>
      </c>
      <c r="AW91" s="324">
        <f t="shared" si="13"/>
        <v>0</v>
      </c>
      <c r="AX91" s="413">
        <f t="shared" si="7"/>
        <v>0</v>
      </c>
      <c r="AY91" s="278">
        <f t="shared" si="10"/>
        <v>0</v>
      </c>
      <c r="AZ91" s="287">
        <f t="shared" si="11"/>
        <v>0</v>
      </c>
      <c r="BA91" s="287"/>
    </row>
    <row r="92" spans="45:53" s="245" customFormat="1" ht="15" x14ac:dyDescent="0.25">
      <c r="AS92" s="287" t="str">
        <f t="shared" si="8"/>
        <v/>
      </c>
      <c r="AT92" s="324">
        <f t="shared" si="12"/>
        <v>0</v>
      </c>
      <c r="AU92" s="324"/>
      <c r="AV92" s="324">
        <f t="shared" si="9"/>
        <v>0</v>
      </c>
      <c r="AW92" s="324">
        <f t="shared" si="13"/>
        <v>0</v>
      </c>
      <c r="AX92" s="413">
        <f t="shared" si="7"/>
        <v>0</v>
      </c>
      <c r="AY92" s="278">
        <f t="shared" si="10"/>
        <v>0</v>
      </c>
      <c r="AZ92" s="287">
        <f t="shared" si="11"/>
        <v>0</v>
      </c>
      <c r="BA92" s="287"/>
    </row>
    <row r="93" spans="45:53" s="245" customFormat="1" ht="15" x14ac:dyDescent="0.25">
      <c r="AS93" s="287" t="str">
        <f t="shared" si="8"/>
        <v/>
      </c>
      <c r="AT93" s="324">
        <f t="shared" si="12"/>
        <v>0</v>
      </c>
      <c r="AU93" s="324"/>
      <c r="AV93" s="324">
        <f t="shared" si="9"/>
        <v>0</v>
      </c>
      <c r="AW93" s="324">
        <f t="shared" si="13"/>
        <v>0</v>
      </c>
      <c r="AX93" s="413">
        <f t="shared" si="7"/>
        <v>0</v>
      </c>
      <c r="AY93" s="278">
        <f t="shared" si="10"/>
        <v>0</v>
      </c>
      <c r="AZ93" s="287">
        <f t="shared" si="11"/>
        <v>0</v>
      </c>
      <c r="BA93" s="287"/>
    </row>
    <row r="94" spans="45:53" s="245" customFormat="1" ht="15" x14ac:dyDescent="0.25">
      <c r="AS94" s="287" t="str">
        <f t="shared" si="8"/>
        <v/>
      </c>
      <c r="AT94" s="324">
        <f t="shared" si="12"/>
        <v>0</v>
      </c>
      <c r="AU94" s="324"/>
      <c r="AV94" s="324">
        <f t="shared" si="9"/>
        <v>0</v>
      </c>
      <c r="AW94" s="324">
        <f t="shared" si="13"/>
        <v>0</v>
      </c>
      <c r="AX94" s="413">
        <f t="shared" si="7"/>
        <v>0</v>
      </c>
      <c r="AY94" s="278">
        <f t="shared" si="10"/>
        <v>0</v>
      </c>
      <c r="AZ94" s="287">
        <f t="shared" si="11"/>
        <v>0</v>
      </c>
      <c r="BA94" s="287"/>
    </row>
    <row r="95" spans="45:53" s="245" customFormat="1" ht="15" x14ac:dyDescent="0.25">
      <c r="AS95" s="287" t="str">
        <f t="shared" si="8"/>
        <v/>
      </c>
      <c r="AT95" s="324">
        <f t="shared" si="12"/>
        <v>0</v>
      </c>
      <c r="AU95" s="324"/>
      <c r="AV95" s="324">
        <f t="shared" si="9"/>
        <v>0</v>
      </c>
      <c r="AW95" s="324">
        <f t="shared" si="13"/>
        <v>0</v>
      </c>
      <c r="AX95" s="413">
        <f t="shared" si="7"/>
        <v>0</v>
      </c>
      <c r="AY95" s="278">
        <f t="shared" si="10"/>
        <v>0</v>
      </c>
      <c r="AZ95" s="287">
        <f t="shared" si="11"/>
        <v>0</v>
      </c>
      <c r="BA95" s="287"/>
    </row>
    <row r="96" spans="45:53" s="245" customFormat="1" ht="15" x14ac:dyDescent="0.25">
      <c r="AS96" s="287" t="str">
        <f t="shared" si="8"/>
        <v/>
      </c>
      <c r="AT96" s="324">
        <f t="shared" si="12"/>
        <v>0</v>
      </c>
      <c r="AU96" s="324"/>
      <c r="AV96" s="324">
        <f t="shared" si="9"/>
        <v>0</v>
      </c>
      <c r="AW96" s="324">
        <f t="shared" si="13"/>
        <v>0</v>
      </c>
      <c r="AX96" s="413">
        <f t="shared" si="7"/>
        <v>0</v>
      </c>
      <c r="AY96" s="278">
        <f t="shared" si="10"/>
        <v>0</v>
      </c>
      <c r="AZ96" s="287">
        <f t="shared" si="11"/>
        <v>0</v>
      </c>
      <c r="BA96" s="287"/>
    </row>
    <row r="97" spans="45:53" s="245" customFormat="1" ht="15" x14ac:dyDescent="0.25">
      <c r="AS97" s="287" t="str">
        <f t="shared" si="8"/>
        <v/>
      </c>
      <c r="AT97" s="324">
        <f t="shared" si="12"/>
        <v>0</v>
      </c>
      <c r="AU97" s="324"/>
      <c r="AV97" s="324">
        <f t="shared" si="9"/>
        <v>0</v>
      </c>
      <c r="AW97" s="324">
        <f t="shared" si="13"/>
        <v>0</v>
      </c>
      <c r="AX97" s="413">
        <f t="shared" si="7"/>
        <v>0</v>
      </c>
      <c r="AY97" s="278">
        <f t="shared" si="10"/>
        <v>0</v>
      </c>
      <c r="AZ97" s="287">
        <f t="shared" si="11"/>
        <v>0</v>
      </c>
      <c r="BA97" s="287"/>
    </row>
    <row r="98" spans="45:53" s="245" customFormat="1" ht="15" x14ac:dyDescent="0.25">
      <c r="AS98" s="287" t="str">
        <f t="shared" si="8"/>
        <v/>
      </c>
      <c r="AT98" s="324">
        <f t="shared" si="12"/>
        <v>0</v>
      </c>
      <c r="AU98" s="324"/>
      <c r="AV98" s="324">
        <f t="shared" si="9"/>
        <v>0</v>
      </c>
      <c r="AW98" s="324">
        <f t="shared" si="13"/>
        <v>0</v>
      </c>
      <c r="AX98" s="413">
        <f t="shared" si="7"/>
        <v>0</v>
      </c>
      <c r="AY98" s="278">
        <f t="shared" si="10"/>
        <v>0</v>
      </c>
      <c r="AZ98" s="287">
        <f t="shared" si="11"/>
        <v>0</v>
      </c>
      <c r="BA98" s="287"/>
    </row>
    <row r="99" spans="45:53" s="245" customFormat="1" ht="15" x14ac:dyDescent="0.25">
      <c r="AS99" s="287" t="str">
        <f t="shared" si="8"/>
        <v/>
      </c>
      <c r="AT99" s="324">
        <f t="shared" si="12"/>
        <v>0</v>
      </c>
      <c r="AU99" s="324"/>
      <c r="AV99" s="324">
        <f t="shared" si="9"/>
        <v>0</v>
      </c>
      <c r="AW99" s="324">
        <f t="shared" si="13"/>
        <v>0</v>
      </c>
      <c r="AX99" s="413">
        <f t="shared" si="7"/>
        <v>0</v>
      </c>
      <c r="AY99" s="278">
        <f t="shared" si="10"/>
        <v>0</v>
      </c>
      <c r="AZ99" s="287">
        <f t="shared" si="11"/>
        <v>0</v>
      </c>
      <c r="BA99" s="287"/>
    </row>
    <row r="100" spans="45:53" s="245" customFormat="1" ht="15" x14ac:dyDescent="0.25">
      <c r="AS100" s="287" t="str">
        <f t="shared" si="8"/>
        <v/>
      </c>
      <c r="AT100" s="324">
        <f t="shared" si="12"/>
        <v>0</v>
      </c>
      <c r="AU100" s="324"/>
      <c r="AV100" s="324">
        <f t="shared" si="9"/>
        <v>0</v>
      </c>
      <c r="AW100" s="324">
        <f t="shared" si="13"/>
        <v>0</v>
      </c>
      <c r="AX100" s="413">
        <f t="shared" si="7"/>
        <v>0</v>
      </c>
      <c r="AY100" s="278">
        <f t="shared" si="10"/>
        <v>0</v>
      </c>
      <c r="AZ100" s="287">
        <f t="shared" si="11"/>
        <v>0</v>
      </c>
      <c r="BA100" s="287"/>
    </row>
    <row r="101" spans="45:53" s="245" customFormat="1" ht="15" x14ac:dyDescent="0.25">
      <c r="AS101" s="287" t="str">
        <f t="shared" si="8"/>
        <v/>
      </c>
      <c r="AT101" s="324">
        <f t="shared" si="12"/>
        <v>0</v>
      </c>
      <c r="AU101" s="324"/>
      <c r="AV101" s="324">
        <f t="shared" si="9"/>
        <v>0</v>
      </c>
      <c r="AW101" s="324">
        <f t="shared" si="13"/>
        <v>0</v>
      </c>
      <c r="AX101" s="413">
        <f t="shared" si="7"/>
        <v>0</v>
      </c>
      <c r="AY101" s="278">
        <f t="shared" si="10"/>
        <v>0</v>
      </c>
      <c r="AZ101" s="287">
        <f t="shared" si="11"/>
        <v>0</v>
      </c>
      <c r="BA101" s="287"/>
    </row>
    <row r="102" spans="45:53" s="245" customFormat="1" ht="15" x14ac:dyDescent="0.25">
      <c r="AS102" s="287" t="str">
        <f t="shared" si="8"/>
        <v/>
      </c>
      <c r="AT102" s="324">
        <f t="shared" si="12"/>
        <v>0</v>
      </c>
      <c r="AU102" s="324"/>
      <c r="AV102" s="324">
        <f t="shared" si="9"/>
        <v>0</v>
      </c>
      <c r="AW102" s="324">
        <f t="shared" si="13"/>
        <v>0</v>
      </c>
      <c r="AX102" s="413">
        <f t="shared" si="7"/>
        <v>0</v>
      </c>
      <c r="AY102" s="278">
        <f t="shared" si="10"/>
        <v>0</v>
      </c>
      <c r="AZ102" s="287">
        <f t="shared" si="11"/>
        <v>0</v>
      </c>
      <c r="BA102" s="287"/>
    </row>
    <row r="103" spans="45:53" s="245" customFormat="1" ht="15" x14ac:dyDescent="0.25">
      <c r="AS103" s="287" t="str">
        <f t="shared" si="8"/>
        <v/>
      </c>
      <c r="AT103" s="324">
        <f t="shared" si="12"/>
        <v>0</v>
      </c>
      <c r="AU103" s="324"/>
      <c r="AV103" s="324">
        <f t="shared" si="9"/>
        <v>0</v>
      </c>
      <c r="AW103" s="324">
        <f t="shared" si="13"/>
        <v>0</v>
      </c>
      <c r="AX103" s="413">
        <f t="shared" si="7"/>
        <v>0</v>
      </c>
      <c r="AY103" s="278">
        <f>IF(ISNUMBER(AS103),LN(AX103+$J$39)-LN($J$39),0)</f>
        <v>0</v>
      </c>
      <c r="AZ103" s="287">
        <f t="shared" si="11"/>
        <v>0</v>
      </c>
      <c r="BA103" s="287"/>
    </row>
    <row r="104" spans="45:53" s="245" customFormat="1" ht="15" x14ac:dyDescent="0.25">
      <c r="AS104" s="287" t="str">
        <f t="shared" si="8"/>
        <v/>
      </c>
      <c r="AT104" s="324">
        <f t="shared" si="12"/>
        <v>0</v>
      </c>
      <c r="AU104" s="324"/>
      <c r="AV104" s="324">
        <f t="shared" si="9"/>
        <v>0</v>
      </c>
      <c r="AW104" s="324">
        <f t="shared" si="13"/>
        <v>0</v>
      </c>
      <c r="AX104" s="413">
        <f t="shared" si="7"/>
        <v>0</v>
      </c>
      <c r="AY104" s="278">
        <f t="shared" si="10"/>
        <v>0</v>
      </c>
      <c r="AZ104" s="287">
        <f t="shared" si="11"/>
        <v>0</v>
      </c>
      <c r="BA104" s="287"/>
    </row>
    <row r="105" spans="45:53" s="245" customFormat="1" ht="15" x14ac:dyDescent="0.25">
      <c r="AS105" s="287" t="str">
        <f t="shared" si="8"/>
        <v/>
      </c>
      <c r="AT105" s="324">
        <f t="shared" si="12"/>
        <v>0</v>
      </c>
      <c r="AU105" s="324"/>
      <c r="AV105" s="324">
        <f t="shared" si="9"/>
        <v>0</v>
      </c>
      <c r="AW105" s="324">
        <f t="shared" si="13"/>
        <v>0</v>
      </c>
      <c r="AX105" s="413">
        <f t="shared" si="7"/>
        <v>0</v>
      </c>
      <c r="AY105" s="278">
        <f t="shared" si="10"/>
        <v>0</v>
      </c>
      <c r="AZ105" s="287">
        <f t="shared" si="11"/>
        <v>0</v>
      </c>
      <c r="BA105" s="287"/>
    </row>
    <row r="106" spans="45:53" s="245" customFormat="1" ht="15" x14ac:dyDescent="0.25">
      <c r="AS106" s="287" t="str">
        <f t="shared" si="8"/>
        <v/>
      </c>
      <c r="AT106" s="324">
        <f t="shared" si="12"/>
        <v>0</v>
      </c>
      <c r="AU106" s="324"/>
      <c r="AV106" s="324">
        <f t="shared" si="9"/>
        <v>0</v>
      </c>
      <c r="AW106" s="324">
        <f t="shared" si="13"/>
        <v>0</v>
      </c>
      <c r="AX106" s="413">
        <f t="shared" si="7"/>
        <v>0</v>
      </c>
      <c r="AY106" s="278">
        <f t="shared" si="10"/>
        <v>0</v>
      </c>
      <c r="AZ106" s="287">
        <f t="shared" si="11"/>
        <v>0</v>
      </c>
      <c r="BA106" s="287"/>
    </row>
    <row r="107" spans="45:53" s="245" customFormat="1" ht="15" x14ac:dyDescent="0.25">
      <c r="AS107" s="287" t="str">
        <f t="shared" si="8"/>
        <v/>
      </c>
      <c r="AT107" s="324">
        <f t="shared" si="12"/>
        <v>0</v>
      </c>
      <c r="AU107" s="324"/>
      <c r="AV107" s="324">
        <f t="shared" si="9"/>
        <v>0</v>
      </c>
      <c r="AW107" s="324">
        <f t="shared" si="13"/>
        <v>0</v>
      </c>
      <c r="AX107" s="413">
        <f t="shared" si="7"/>
        <v>0</v>
      </c>
      <c r="AY107" s="278">
        <f t="shared" si="10"/>
        <v>0</v>
      </c>
      <c r="AZ107" s="287">
        <f t="shared" si="11"/>
        <v>0</v>
      </c>
      <c r="BA107" s="287"/>
    </row>
    <row r="108" spans="45:53" s="245" customFormat="1" ht="15" x14ac:dyDescent="0.25">
      <c r="AS108" s="287" t="str">
        <f t="shared" si="8"/>
        <v/>
      </c>
      <c r="AT108" s="324">
        <f t="shared" si="12"/>
        <v>0</v>
      </c>
      <c r="AU108" s="324"/>
      <c r="AV108" s="324">
        <f t="shared" si="9"/>
        <v>0</v>
      </c>
      <c r="AW108" s="324">
        <f t="shared" si="13"/>
        <v>0</v>
      </c>
      <c r="AX108" s="413">
        <f t="shared" si="7"/>
        <v>0</v>
      </c>
      <c r="AY108" s="278">
        <f t="shared" si="10"/>
        <v>0</v>
      </c>
      <c r="AZ108" s="287">
        <f t="shared" si="11"/>
        <v>0</v>
      </c>
      <c r="BA108" s="287"/>
    </row>
    <row r="109" spans="45:53" s="245" customFormat="1" ht="15" x14ac:dyDescent="0.25">
      <c r="AS109" s="287" t="str">
        <f t="shared" si="8"/>
        <v/>
      </c>
      <c r="AT109" s="324">
        <f t="shared" si="12"/>
        <v>0</v>
      </c>
      <c r="AU109" s="324"/>
      <c r="AV109" s="324">
        <f t="shared" si="9"/>
        <v>0</v>
      </c>
      <c r="AW109" s="324">
        <f t="shared" si="13"/>
        <v>0</v>
      </c>
      <c r="AX109" s="413">
        <f t="shared" si="7"/>
        <v>0</v>
      </c>
      <c r="AY109" s="278">
        <f t="shared" si="10"/>
        <v>0</v>
      </c>
      <c r="AZ109" s="287">
        <f t="shared" si="11"/>
        <v>0</v>
      </c>
      <c r="BA109" s="287"/>
    </row>
    <row r="110" spans="45:53" s="245" customFormat="1" ht="15" x14ac:dyDescent="0.25">
      <c r="AS110" s="287" t="str">
        <f t="shared" si="8"/>
        <v/>
      </c>
      <c r="AT110" s="324">
        <f t="shared" si="12"/>
        <v>0</v>
      </c>
      <c r="AU110" s="324"/>
      <c r="AV110" s="324">
        <f t="shared" si="9"/>
        <v>0</v>
      </c>
      <c r="AW110" s="324">
        <f t="shared" si="13"/>
        <v>0</v>
      </c>
      <c r="AX110" s="413">
        <f t="shared" si="7"/>
        <v>0</v>
      </c>
      <c r="AY110" s="278">
        <f t="shared" si="10"/>
        <v>0</v>
      </c>
      <c r="AZ110" s="287">
        <f t="shared" si="11"/>
        <v>0</v>
      </c>
      <c r="BA110" s="287"/>
    </row>
    <row r="111" spans="45:53" s="245" customFormat="1" ht="15" x14ac:dyDescent="0.25">
      <c r="AS111" s="287" t="str">
        <f t="shared" si="8"/>
        <v/>
      </c>
      <c r="AT111" s="324">
        <f t="shared" si="12"/>
        <v>0</v>
      </c>
      <c r="AU111" s="324"/>
      <c r="AV111" s="324">
        <f t="shared" si="9"/>
        <v>0</v>
      </c>
      <c r="AW111" s="324">
        <f t="shared" si="13"/>
        <v>0</v>
      </c>
      <c r="AX111" s="413">
        <f>IF(ISNUMBER(AS114),AU111+AV111,AU111+AV111+AW111*$D$16)</f>
        <v>0</v>
      </c>
      <c r="AY111" s="278">
        <f t="shared" si="10"/>
        <v>0</v>
      </c>
      <c r="AZ111" s="287">
        <f t="shared" si="11"/>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9">
      <formula1>$C$32:$G$32</formula1>
    </dataValidation>
    <dataValidation type="list" allowBlank="1" showInputMessage="1" sqref="K15">
      <formula1>$C$23:$G$23</formula1>
    </dataValidation>
    <dataValidation type="list" allowBlank="1" showInputMessage="1" sqref="K16">
      <formula1>$C$30:$G$30</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[1]Parameters!#REF!</xm:f>
          </x14:formula1>
          <xm:sqref>J18:K19</xm:sqref>
        </x14:dataValidation>
        <x14:dataValidation type="list" allowBlank="1" showInputMessage="1">
          <x14:formula1>
            <xm:f>[1]Parameters!#REF!</xm:f>
          </x14:formula1>
          <xm:sqref>G10</xm:sqref>
        </x14:dataValidation>
        <x14:dataValidation type="list" allowBlank="1" showInputMessage="1">
          <x14:formula1>
            <xm:f>[1]Parameters!#REF!</xm:f>
          </x14:formula1>
          <xm:sqref>G8</xm:sqref>
        </x14:dataValidation>
        <x14:dataValidation type="list" allowBlank="1" showInputMessage="1">
          <x14:formula1>
            <xm:f>[1]Parameters!#REF!</xm:f>
          </x14:formula1>
          <xm:sqref>G20</xm:sqref>
        </x14:dataValidation>
        <x14:dataValidation type="list" allowBlank="1" showInputMessage="1">
          <x14:formula1>
            <xm:f>[1]Parameters!#REF!</xm:f>
          </x14:formula1>
          <xm:sqref>D7</xm:sqref>
        </x14:dataValidation>
        <x14:dataValidation type="list" allowBlank="1" showInputMessage="1">
          <x14:formula1>
            <xm:f>[1]Parameters!#REF!</xm:f>
          </x14:formula1>
          <xm:sqref>J20:K20</xm:sqref>
        </x14:dataValidation>
        <x14:dataValidation type="list" allowBlank="1" showInputMessage="1">
          <x14:formula1>
            <xm:f>[1]Parameters!#REF!</xm:f>
          </x14:formula1>
          <xm:sqref>J17:K17</xm:sqref>
        </x14:dataValidation>
        <x14:dataValidation type="list" allowBlank="1" showInputMessage="1">
          <x14:formula1>
            <xm:f>[1]Parameters!#REF!</xm:f>
          </x14:formula1>
          <xm:sqref>J10</xm:sqref>
        </x14:dataValidation>
        <x14:dataValidation type="list" allowBlank="1" showInputMessage="1">
          <x14:formula1>
            <xm:f>[1]Parameters!#REF!</xm:f>
          </x14:formula1>
          <xm:sqref>K7</xm:sqref>
        </x14:dataValidation>
        <x14:dataValidation type="list" allowBlank="1" showInputMessage="1">
          <x14:formula1>
            <xm:f>[1]Parameters!#REF!</xm:f>
          </x14:formula1>
          <xm:sqref>J7</xm:sqref>
        </x14:dataValidation>
        <x14:dataValidation type="list" allowBlank="1" showInputMessage="1">
          <x14:formula1>
            <xm:f>[1]Parameters!#REF!</xm:f>
          </x14:formula1>
          <xm:sqref>K10</xm:sqref>
        </x14:dataValidation>
        <x14:dataValidation type="list" allowBlank="1" showInputMessage="1">
          <x14:formula1>
            <xm:f>[1]Parameters!#REF!</xm:f>
          </x14:formula1>
          <xm:sqref>J8</xm:sqref>
        </x14:dataValidation>
        <x14:dataValidation type="list" allowBlank="1" showInputMessage="1">
          <x14:formula1>
            <xm:f>[1]Parameters!#REF!</xm:f>
          </x14:formula1>
          <xm:sqref>M8</xm:sqref>
        </x14:dataValidation>
        <x14:dataValidation type="list" allowBlank="1" showInputMessage="1">
          <x14:formula1>
            <xm:f>[1]Parameters!#REF!</xm:f>
          </x14:formula1>
          <xm:sqref>M9</xm:sqref>
        </x14:dataValidation>
        <x14:dataValidation type="list" allowBlank="1" showInputMessage="1">
          <x14:formula1>
            <xm:f>[1]Parameters!#REF!</xm:f>
          </x14:formula1>
          <xm:sqref>M11</xm:sqref>
        </x14:dataValidation>
        <x14:dataValidation type="list" allowBlank="1" showInputMessage="1">
          <x14:formula1>
            <xm:f>[1]Parameters!#REF!</xm:f>
          </x14:formula1>
          <xm:sqref>M12</xm:sqref>
        </x14:dataValidation>
        <x14:dataValidation type="list" allowBlank="1" showInputMessage="1">
          <x14:formula1>
            <xm:f>[1]Parameters!#REF!</xm:f>
          </x14:formula1>
          <xm:sqref>M14</xm:sqref>
        </x14:dataValidation>
        <x14:dataValidation type="list" allowBlank="1" showInputMessage="1">
          <x14:formula1>
            <xm:f>[1]Parameters!#REF!</xm:f>
          </x14:formula1>
          <xm:sqref>M15</xm:sqref>
        </x14:dataValidation>
        <x14:dataValidation type="list" allowBlank="1" showInputMessage="1">
          <x14:formula1>
            <xm:f>[1]Parameters!#REF!</xm:f>
          </x14:formula1>
          <xm:sqref>J11</xm:sqref>
        </x14:dataValidation>
        <x14:dataValidation type="list" allowBlank="1" showInputMessage="1">
          <x14:formula1>
            <xm:f>[1]Parameters!#REF!</xm:f>
          </x14:formula1>
          <xm:sqref>J14</xm:sqref>
        </x14:dataValidation>
        <x14:dataValidation type="list" allowBlank="1" showInputMessage="1">
          <x14:formula1>
            <xm:f>[1]Parameters!#REF!</xm:f>
          </x14:formula1>
          <xm:sqref>G17:G19</xm:sqref>
        </x14:dataValidation>
        <x14:dataValidation type="list" allowBlank="1" showInputMessage="1">
          <x14:formula1>
            <xm:f>[1]Parameters!#REF!</xm:f>
          </x14:formula1>
          <xm:sqref>G15:G16</xm:sqref>
        </x14:dataValidation>
        <x14:dataValidation type="list" allowBlank="1" showInputMessage="1">
          <x14:formula1>
            <xm:f>[1]Parameters!#REF!</xm:f>
          </x14:formula1>
          <xm:sqref>D14</xm:sqref>
        </x14:dataValidation>
        <x14:dataValidation type="list" allowBlank="1" showInputMessage="1">
          <x14:formula1>
            <xm:f>[1]Parameters!#REF!</xm:f>
          </x14:formula1>
          <xm:sqref>D10</xm:sqref>
        </x14:dataValidation>
        <x14:dataValidation type="list" allowBlank="1" showInputMessage="1">
          <x14:formula1>
            <xm:f>[1]Parameters!#REF!</xm:f>
          </x14:formula1>
          <xm:sqref>G11</xm:sqref>
        </x14:dataValidation>
        <x14:dataValidation type="list" allowBlank="1" showInputMessage="1">
          <x14:formula1>
            <xm:f>[1]Parameters!#REF!</xm:f>
          </x14:formula1>
          <xm:sqref>M20</xm:sqref>
        </x14:dataValidation>
        <x14:dataValidation type="list" allowBlank="1" showInputMessage="1">
          <x14:formula1>
            <xm:f>[1]Parameters!#REF!</xm:f>
          </x14:formula1>
          <xm:sqref>M18</xm:sqref>
        </x14:dataValidation>
        <x14:dataValidation type="list" allowBlank="1" showInputMessage="1">
          <x14:formula1>
            <xm:f>[1]Parameters!#REF!</xm:f>
          </x14:formula1>
          <xm:sqref>G14</xm:sqref>
        </x14:dataValidation>
        <x14:dataValidation type="list" allowBlank="1" showInputMessage="1">
          <x14:formula1>
            <xm:f>[1]Parameters!#REF!</xm:f>
          </x14:formula1>
          <xm:sqref>J9</xm:sqref>
        </x14:dataValidation>
        <x14:dataValidation type="list" allowBlank="1" showInputMessage="1">
          <x14:formula1>
            <xm:f>[1]Parameters!#REF!</xm:f>
          </x14:formula1>
          <xm:sqref>D16:D18</xm:sqref>
        </x14:dataValidation>
        <x14:dataValidation type="list" allowBlank="1" showInputMessage="1">
          <x14:formula1>
            <xm:f>[1]Parameters!#REF!</xm:f>
          </x14:formula1>
          <xm:sqref>M19</xm:sqref>
        </x14:dataValidation>
        <x14:dataValidation type="list" allowBlank="1" showInputMessage="1">
          <x14:formula1>
            <xm:f>[1]Parameters!#REF!</xm:f>
          </x14:formula1>
          <xm:sqref>G7</xm:sqref>
        </x14:dataValidation>
        <x14:dataValidation type="list" allowBlank="1" showInputMessage="1">
          <x14:formula1>
            <xm:f>[1]Parameters!#REF!</xm:f>
          </x14:formula1>
          <xm:sqref>D19:D20</xm:sqref>
        </x14:dataValidation>
        <x14:dataValidation type="list" allowBlank="1" showInputMessage="1">
          <x14:formula1>
            <xm:f>[1]Parameters!#REF!</xm:f>
          </x14:formula1>
          <xm:sqref>D11</xm:sqref>
        </x14:dataValidation>
        <x14:dataValidation type="list" allowBlank="1" showInputMessage="1">
          <x14:formula1>
            <xm:f>[1]Parameters!#REF!</xm:f>
          </x14:formula1>
          <xm:sqref>G9</xm:sqref>
        </x14:dataValidation>
        <x14:dataValidation type="list" allowBlank="1" showInputMessage="1">
          <x14:formula1>
            <xm:f>[1]Parameters!#REF!</xm:f>
          </x14:formula1>
          <xm:sqref>J15:J16</xm:sqref>
        </x14:dataValidation>
        <x14:dataValidation type="list" allowBlank="1" showInputMessage="1">
          <x14:formula1>
            <xm:f>[1]Parameters!#REF!</xm:f>
          </x14:formula1>
          <xm:sqref>M10</xm:sqref>
        </x14:dataValidation>
        <x14:dataValidation type="list" allowBlank="1" showInputMessage="1">
          <x14:formula1>
            <xm:f>[1]Parameters!#REF!</xm:f>
          </x14:formula1>
          <xm:sqref>M7</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A2" workbookViewId="0">
      <selection activeCell="C9" sqref="C9:D9"/>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651"/>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0.16586871387112928</v>
      </c>
      <c r="S5" s="616">
        <f>R5*(1-1/(1+D7)^G17)/(1-1/(1+D7))</f>
        <v>3.1574381899666331</v>
      </c>
      <c r="T5" s="798">
        <f>S5*G11*G7*G9*G20*G8/G39</f>
        <v>0.14614428193559845</v>
      </c>
      <c r="U5" s="798"/>
      <c r="V5" s="799">
        <f>$G$15*$G$10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8.5106382978723403</v>
      </c>
      <c r="AW5" s="277">
        <f>AT5</f>
        <v>106.38297872340425</v>
      </c>
      <c r="AX5" s="413">
        <f t="shared" si="0"/>
        <v>8.5106382978723403</v>
      </c>
      <c r="AY5" s="278">
        <f t="shared" ref="AY5:AY68" si="3">IF(ISNUMBER(AS5),LN(AX5+$J$39)-LN($J$39),0)</f>
        <v>2.9331169017061676E-2</v>
      </c>
      <c r="AZ5" s="231">
        <f t="shared" ref="AZ5:AZ68" si="4">IF(ISNUMBER(AS5),AY5/(1+$D$7)^AS5,0)</f>
        <v>2.8339293736291477E-2</v>
      </c>
      <c r="BA5" s="231">
        <f>SUM(AZ5:AZ111)</f>
        <v>0.46032790613600261</v>
      </c>
      <c r="BB5" s="232">
        <f>SUM(AZ5:AZ23)</f>
        <v>0.40212555848973403</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2.4248827205525497E-2</v>
      </c>
      <c r="S6" s="616">
        <f>R6*(1-1/(1+D7)^G17)/(1-1/(1+D7))</f>
        <v>0.46159502472608638</v>
      </c>
      <c r="T6" s="798">
        <f>S6*M8*M9*M14*(V39/U39)*G11</f>
        <v>1.1141057516788819E-2</v>
      </c>
      <c r="U6" s="798"/>
      <c r="V6" s="799">
        <v>0</v>
      </c>
      <c r="W6" s="811"/>
      <c r="X6" s="237"/>
      <c r="Y6" s="245"/>
      <c r="Z6" s="357" t="s">
        <v>42</v>
      </c>
      <c r="AA6" s="358"/>
      <c r="AB6" s="359">
        <f>$G$7*$G$8*$G$9*G$20*$J7</f>
        <v>1.6740000000000001E-2</v>
      </c>
      <c r="AC6" s="246"/>
      <c r="AD6" s="628" t="s">
        <v>669</v>
      </c>
      <c r="AE6" s="611">
        <f>M19</f>
        <v>40</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8.5106382978723403</v>
      </c>
      <c r="AW6" s="277">
        <f t="shared" ref="AW6:AW69" si="6">AT6</f>
        <v>106.38297872340425</v>
      </c>
      <c r="AX6" s="413">
        <f t="shared" si="0"/>
        <v>8.5106382978723403</v>
      </c>
      <c r="AY6" s="278">
        <f t="shared" si="3"/>
        <v>2.9331169017061676E-2</v>
      </c>
      <c r="AZ6" s="231">
        <f t="shared" si="4"/>
        <v>2.7380960131682588E-2</v>
      </c>
      <c r="BA6" s="231"/>
    </row>
    <row r="7" spans="1:54" ht="26.1" customHeight="1" x14ac:dyDescent="0.25">
      <c r="A7" s="245"/>
      <c r="B7" s="801" t="s">
        <v>45</v>
      </c>
      <c r="C7" s="299" t="s">
        <v>0</v>
      </c>
      <c r="D7" s="139">
        <v>3.5000000000000003E-2</v>
      </c>
      <c r="E7" s="233"/>
      <c r="F7" s="319" t="s">
        <v>662</v>
      </c>
      <c r="G7" s="335">
        <v>0.9</v>
      </c>
      <c r="H7" s="235"/>
      <c r="I7" s="319" t="s">
        <v>8</v>
      </c>
      <c r="J7" s="378">
        <v>0.31</v>
      </c>
      <c r="K7" s="312"/>
      <c r="L7" s="319" t="s">
        <v>175</v>
      </c>
      <c r="M7" s="322">
        <v>0.08</v>
      </c>
      <c r="N7" s="243"/>
      <c r="O7" s="237"/>
      <c r="P7" s="245"/>
      <c r="Q7" s="246"/>
      <c r="R7" s="237"/>
      <c r="S7" s="237"/>
      <c r="T7" s="237"/>
      <c r="U7" s="316"/>
      <c r="V7" s="237"/>
      <c r="W7" s="243"/>
      <c r="X7" s="237"/>
      <c r="Y7" s="245"/>
      <c r="Z7" s="357" t="s">
        <v>32</v>
      </c>
      <c r="AA7" s="358"/>
      <c r="AB7" s="359">
        <f>$G$7*$G$8*$G$9*G$20*$J8</f>
        <v>2.4300000000000002E-2</v>
      </c>
      <c r="AC7" s="246"/>
      <c r="AD7" s="628" t="s">
        <v>411</v>
      </c>
      <c r="AE7" s="611">
        <f>G10</f>
        <v>3</v>
      </c>
      <c r="AF7" s="245"/>
      <c r="AG7" s="245"/>
      <c r="AH7" s="245"/>
      <c r="AI7" s="245"/>
      <c r="AJ7" s="245"/>
      <c r="AK7" s="245"/>
      <c r="AL7" s="245"/>
      <c r="AM7" s="245"/>
      <c r="AN7" s="245"/>
      <c r="AO7" s="245"/>
      <c r="AP7" s="245"/>
      <c r="AQ7" s="245"/>
      <c r="AS7" s="231">
        <f t="shared" si="1"/>
        <v>3</v>
      </c>
      <c r="AT7" s="277">
        <f>IF(ISNUMBER(AS7),AW6,0)</f>
        <v>106.38297872340425</v>
      </c>
      <c r="AU7" s="277"/>
      <c r="AV7" s="277">
        <f t="shared" si="2"/>
        <v>8.5106382978723403</v>
      </c>
      <c r="AW7" s="277">
        <f t="shared" si="6"/>
        <v>106.38297872340425</v>
      </c>
      <c r="AX7" s="413">
        <f t="shared" si="0"/>
        <v>8.5106382978723403</v>
      </c>
      <c r="AY7" s="278">
        <f t="shared" si="3"/>
        <v>2.9331169017061676E-2</v>
      </c>
      <c r="AZ7" s="231">
        <f t="shared" si="4"/>
        <v>2.6455033943654678E-2</v>
      </c>
      <c r="BA7" s="231"/>
    </row>
    <row r="8" spans="1:54" ht="24.95" customHeight="1" thickBot="1" x14ac:dyDescent="0.3">
      <c r="A8" s="245"/>
      <c r="B8" s="801"/>
      <c r="C8" s="293"/>
      <c r="D8" s="293"/>
      <c r="E8" s="272"/>
      <c r="F8" s="321" t="s">
        <v>6</v>
      </c>
      <c r="G8" s="244">
        <v>0.25</v>
      </c>
      <c r="H8" s="236"/>
      <c r="I8" s="612" t="s">
        <v>9</v>
      </c>
      <c r="J8" s="376">
        <v>0.45</v>
      </c>
      <c r="K8" s="313"/>
      <c r="L8" s="612" t="s">
        <v>169</v>
      </c>
      <c r="M8" s="613">
        <v>0.8</v>
      </c>
      <c r="N8" s="243"/>
      <c r="O8" s="237"/>
      <c r="P8" s="245"/>
      <c r="Q8" s="802" t="s">
        <v>191</v>
      </c>
      <c r="R8" s="237"/>
      <c r="S8" s="618" t="s">
        <v>306</v>
      </c>
      <c r="T8" s="803" t="s">
        <v>34</v>
      </c>
      <c r="U8" s="803"/>
      <c r="V8" s="803" t="s">
        <v>152</v>
      </c>
      <c r="W8" s="804"/>
      <c r="X8" s="237"/>
      <c r="Y8" s="245"/>
      <c r="Z8" s="357" t="s">
        <v>38</v>
      </c>
      <c r="AA8" s="358"/>
      <c r="AB8" s="359">
        <f>$G$7*$G$8*$G$9*G$20</f>
        <v>5.4000000000000006E-2</v>
      </c>
      <c r="AC8" s="371"/>
      <c r="AD8" s="372" t="s">
        <v>668</v>
      </c>
      <c r="AE8" s="373">
        <f>(AE7*M19)/S5</f>
        <v>38.005494575103029</v>
      </c>
      <c r="AF8" s="245"/>
      <c r="AG8" s="245"/>
      <c r="AH8" s="245"/>
      <c r="AI8" s="245"/>
      <c r="AJ8" s="245"/>
      <c r="AK8" s="245"/>
      <c r="AL8" s="245"/>
      <c r="AM8" s="245"/>
      <c r="AN8" s="245"/>
      <c r="AO8" s="245"/>
      <c r="AP8" s="245"/>
      <c r="AQ8" s="245"/>
      <c r="AS8" s="231">
        <f t="shared" si="1"/>
        <v>4</v>
      </c>
      <c r="AT8" s="277">
        <f t="shared" si="5"/>
        <v>106.38297872340425</v>
      </c>
      <c r="AU8" s="277"/>
      <c r="AV8" s="277">
        <f t="shared" si="2"/>
        <v>8.5106382978723403</v>
      </c>
      <c r="AW8" s="277">
        <f t="shared" si="6"/>
        <v>106.38297872340425</v>
      </c>
      <c r="AX8" s="413">
        <f t="shared" si="0"/>
        <v>8.5106382978723403</v>
      </c>
      <c r="AY8" s="278">
        <f t="shared" si="3"/>
        <v>2.9331169017061676E-2</v>
      </c>
      <c r="AZ8" s="231">
        <f t="shared" si="4"/>
        <v>2.5560419269231572E-2</v>
      </c>
      <c r="BA8" s="231"/>
    </row>
    <row r="9" spans="1:54" ht="33.75" x14ac:dyDescent="0.25">
      <c r="A9" s="245"/>
      <c r="B9" s="801"/>
      <c r="C9" s="805" t="s">
        <v>14</v>
      </c>
      <c r="D9" s="805"/>
      <c r="E9" s="233"/>
      <c r="F9" s="612" t="s">
        <v>146</v>
      </c>
      <c r="G9" s="613">
        <v>0.8</v>
      </c>
      <c r="H9" s="236"/>
      <c r="I9" s="612" t="s">
        <v>164</v>
      </c>
      <c r="J9" s="376">
        <v>1</v>
      </c>
      <c r="K9" s="313"/>
      <c r="L9" s="612" t="s">
        <v>170</v>
      </c>
      <c r="M9" s="613">
        <v>0.7</v>
      </c>
      <c r="N9" s="243"/>
      <c r="O9" s="237"/>
      <c r="P9" s="245"/>
      <c r="Q9" s="802"/>
      <c r="R9" s="620" t="s">
        <v>44</v>
      </c>
      <c r="S9" s="619">
        <f>J11*($T$5*AB14*J14*J7+$V$5*J7)</f>
        <v>4.6942288140035524E-2</v>
      </c>
      <c r="T9" s="806">
        <f>S9/(J17/J9)</f>
        <v>6.9032776676522828E-2</v>
      </c>
      <c r="U9" s="806"/>
      <c r="V9" s="807">
        <f>($G$10*$M$19)/T9</f>
        <v>1738.3046978148059</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8.5106382978723403</v>
      </c>
      <c r="AW9" s="277">
        <f t="shared" si="6"/>
        <v>106.38297872340425</v>
      </c>
      <c r="AX9" s="413">
        <f t="shared" si="0"/>
        <v>8.5106382978723403</v>
      </c>
      <c r="AY9" s="278">
        <f t="shared" si="3"/>
        <v>2.9331169017061676E-2</v>
      </c>
      <c r="AZ9" s="231">
        <f t="shared" si="4"/>
        <v>2.4696057264958046E-2</v>
      </c>
      <c r="BA9" s="231"/>
    </row>
    <row r="10" spans="1:54" ht="39.75" customHeight="1" x14ac:dyDescent="0.25">
      <c r="A10" s="245"/>
      <c r="B10" s="801"/>
      <c r="C10" s="290" t="s">
        <v>3</v>
      </c>
      <c r="D10" s="291">
        <v>0.08</v>
      </c>
      <c r="E10" s="283"/>
      <c r="F10" s="612" t="s">
        <v>323</v>
      </c>
      <c r="G10" s="466">
        <v>3</v>
      </c>
      <c r="H10" s="284"/>
      <c r="I10" s="612" t="s">
        <v>165</v>
      </c>
      <c r="J10" s="376">
        <v>1</v>
      </c>
      <c r="K10" s="313"/>
      <c r="L10" s="612" t="s">
        <v>184</v>
      </c>
      <c r="M10" s="613">
        <v>1</v>
      </c>
      <c r="N10" s="243"/>
      <c r="O10" s="237"/>
      <c r="P10" s="245"/>
      <c r="Q10" s="802"/>
      <c r="R10" s="620" t="s">
        <v>496</v>
      </c>
      <c r="S10" s="619">
        <f>J20*($T$5*AB15*J15*J8+$V$5*J8)</f>
        <v>6.1565538483917374E-2</v>
      </c>
      <c r="T10" s="806">
        <f>S10/(J18/J10)</f>
        <v>5.1304615403264482E-2</v>
      </c>
      <c r="U10" s="806"/>
      <c r="V10" s="807">
        <f>($G$10*$M$19)/T10</f>
        <v>2338.9708519745473</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8.5106382978723403</v>
      </c>
      <c r="AW10" s="277">
        <f t="shared" si="6"/>
        <v>106.38297872340425</v>
      </c>
      <c r="AX10" s="413">
        <f t="shared" si="0"/>
        <v>8.5106382978723403</v>
      </c>
      <c r="AY10" s="278">
        <f t="shared" si="3"/>
        <v>2.9331169017061676E-2</v>
      </c>
      <c r="AZ10" s="231">
        <f t="shared" si="4"/>
        <v>2.3860924893679268E-2</v>
      </c>
      <c r="BA10" s="231"/>
      <c r="BB10" s="498"/>
    </row>
    <row r="11" spans="1:54" ht="33" customHeight="1" x14ac:dyDescent="0.25">
      <c r="A11" s="245"/>
      <c r="B11" s="801"/>
      <c r="C11" s="296" t="s">
        <v>5</v>
      </c>
      <c r="D11" s="297">
        <v>0.5</v>
      </c>
      <c r="E11" s="234"/>
      <c r="F11" s="612" t="s">
        <v>301</v>
      </c>
      <c r="G11" s="466">
        <v>1.5</v>
      </c>
      <c r="H11" s="237"/>
      <c r="I11" s="612" t="s">
        <v>322</v>
      </c>
      <c r="J11" s="376">
        <v>1</v>
      </c>
      <c r="K11" s="313"/>
      <c r="L11" s="612" t="s">
        <v>183</v>
      </c>
      <c r="M11" s="613">
        <v>0.8</v>
      </c>
      <c r="N11" s="243"/>
      <c r="O11" s="245"/>
      <c r="P11" s="245"/>
      <c r="Q11" s="802"/>
      <c r="R11" s="620" t="s">
        <v>38</v>
      </c>
      <c r="S11" s="619" t="s">
        <v>408</v>
      </c>
      <c r="T11" s="806">
        <f>M18*((1/S39)*(1/M20)*T5*AB16+(1/R39)*M19*G10)</f>
        <v>3.0856457791440577E-2</v>
      </c>
      <c r="U11" s="806">
        <f>(1/S39)*(1/M20)*T5+1/R39*(G10*S5)</f>
        <v>1.3368464435020655E-2</v>
      </c>
      <c r="V11" s="807">
        <f>($G$10*$M$19)/T11</f>
        <v>3888.9752288186296</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8.5106382978723403</v>
      </c>
      <c r="AW11" s="277">
        <f t="shared" si="6"/>
        <v>106.38297872340425</v>
      </c>
      <c r="AX11" s="413">
        <f t="shared" si="0"/>
        <v>8.5106382978723403</v>
      </c>
      <c r="AY11" s="278">
        <f t="shared" si="3"/>
        <v>2.9331169017061676E-2</v>
      </c>
      <c r="AZ11" s="231">
        <f t="shared" si="4"/>
        <v>2.3054033713699778E-2</v>
      </c>
      <c r="BA11" s="231"/>
    </row>
    <row r="12" spans="1:54" ht="22.7" customHeight="1" x14ac:dyDescent="0.25">
      <c r="A12" s="245"/>
      <c r="B12" s="246"/>
      <c r="C12" s="240"/>
      <c r="D12" s="239"/>
      <c r="E12" s="233"/>
      <c r="F12" s="240"/>
      <c r="G12" s="377"/>
      <c r="H12" s="240"/>
      <c r="I12" s="240"/>
      <c r="J12" s="377"/>
      <c r="K12" s="237"/>
      <c r="L12" s="822" t="s">
        <v>176</v>
      </c>
      <c r="M12" s="824">
        <v>0.5</v>
      </c>
      <c r="N12" s="243"/>
      <c r="O12" s="237"/>
      <c r="P12" s="245"/>
      <c r="Q12" s="292"/>
      <c r="R12" s="826" t="s">
        <v>174</v>
      </c>
      <c r="S12" s="828">
        <f>T6</f>
        <v>1.1141057516788819E-2</v>
      </c>
      <c r="T12" s="806">
        <f>M12*S12/(M7/M10)</f>
        <v>6.9631609479930121E-2</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8.5106382978723403</v>
      </c>
      <c r="AW12" s="277">
        <f t="shared" si="6"/>
        <v>106.38297872340425</v>
      </c>
      <c r="AX12" s="413">
        <f t="shared" si="0"/>
        <v>8.5106382978723403</v>
      </c>
      <c r="AY12" s="278">
        <f t="shared" si="3"/>
        <v>2.9331169017061676E-2</v>
      </c>
      <c r="AZ12" s="231">
        <f t="shared" si="4"/>
        <v>2.2274428708888679E-2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8.5106382978723403</v>
      </c>
      <c r="AW13" s="277">
        <f t="shared" si="6"/>
        <v>106.38297872340425</v>
      </c>
      <c r="AX13" s="413">
        <f t="shared" si="0"/>
        <v>8.5106382978723403</v>
      </c>
      <c r="AY13" s="278">
        <f t="shared" si="3"/>
        <v>2.9331169017061676E-2</v>
      </c>
      <c r="AZ13" s="231">
        <f t="shared" si="4"/>
        <v>2.1521187158346552E-2</v>
      </c>
      <c r="BA13" s="231"/>
    </row>
    <row r="14" spans="1:54" ht="35.1" customHeight="1" x14ac:dyDescent="0.25">
      <c r="A14" s="245"/>
      <c r="B14" s="892" t="s">
        <v>214</v>
      </c>
      <c r="C14" s="836" t="s">
        <v>1</v>
      </c>
      <c r="D14" s="838">
        <v>20</v>
      </c>
      <c r="E14" s="233"/>
      <c r="F14" s="622" t="s">
        <v>560</v>
      </c>
      <c r="G14" s="528">
        <v>5</v>
      </c>
      <c r="H14" s="237"/>
      <c r="I14" s="614" t="s">
        <v>11</v>
      </c>
      <c r="J14" s="379">
        <v>1</v>
      </c>
      <c r="K14" s="237"/>
      <c r="L14" s="612" t="s">
        <v>178</v>
      </c>
      <c r="M14" s="613">
        <v>1</v>
      </c>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8.5106382978723403</v>
      </c>
      <c r="AW14" s="277">
        <f t="shared" si="6"/>
        <v>106.38297872340425</v>
      </c>
      <c r="AX14" s="413">
        <f t="shared" si="0"/>
        <v>8.5106382978723403</v>
      </c>
      <c r="AY14" s="278">
        <f t="shared" si="3"/>
        <v>2.9331169017061676E-2</v>
      </c>
      <c r="AZ14" s="231">
        <f t="shared" si="4"/>
        <v>2.0793417544296186E-2</v>
      </c>
      <c r="BA14" s="231"/>
    </row>
    <row r="15" spans="1:54" ht="21" customHeight="1" thickBot="1" x14ac:dyDescent="0.3">
      <c r="A15" s="245"/>
      <c r="B15" s="892"/>
      <c r="C15" s="837"/>
      <c r="D15" s="839"/>
      <c r="E15" s="234"/>
      <c r="F15" s="836" t="s">
        <v>2</v>
      </c>
      <c r="G15" s="917">
        <v>1.7608179999999999E-3</v>
      </c>
      <c r="H15" s="237"/>
      <c r="I15" s="818" t="s">
        <v>10</v>
      </c>
      <c r="J15" s="820">
        <v>0.9</v>
      </c>
      <c r="K15" s="314"/>
      <c r="L15" s="320" t="s">
        <v>181</v>
      </c>
      <c r="M15" s="334">
        <v>3.5999999999999997E-2</v>
      </c>
      <c r="N15" s="243"/>
      <c r="O15" s="237"/>
      <c r="P15" s="245"/>
      <c r="Q15" s="802"/>
      <c r="R15" s="624">
        <f>BA5</f>
        <v>0.46032790613600261</v>
      </c>
      <c r="S15" s="624">
        <f>AZ4</f>
        <v>0.31632022465180309</v>
      </c>
      <c r="T15" s="835">
        <f>R15+S15</f>
        <v>0.7766481307878057</v>
      </c>
      <c r="U15" s="835"/>
      <c r="V15" s="806">
        <f>T15/(Emma!Q39/Emma!D19)</f>
        <v>3.0224038657738249E-3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8.5106382978723403</v>
      </c>
      <c r="AW15" s="277">
        <f t="shared" si="6"/>
        <v>106.38297872340425</v>
      </c>
      <c r="AX15" s="413">
        <f t="shared" si="0"/>
        <v>8.5106382978723403</v>
      </c>
      <c r="AY15" s="278">
        <f t="shared" si="3"/>
        <v>2.9331169017061676E-2</v>
      </c>
      <c r="AZ15" s="231">
        <f t="shared" si="4"/>
        <v>2.0090258496904528E-2</v>
      </c>
      <c r="BA15" s="231"/>
    </row>
    <row r="16" spans="1:54" ht="21" customHeight="1" thickBot="1" x14ac:dyDescent="0.3">
      <c r="A16" s="245"/>
      <c r="B16" s="892"/>
      <c r="C16" s="841" t="s">
        <v>507</v>
      </c>
      <c r="D16" s="842">
        <v>0.25</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8.5106382978723403</v>
      </c>
      <c r="AW16" s="277">
        <f t="shared" si="6"/>
        <v>106.38297872340425</v>
      </c>
      <c r="AX16" s="413">
        <f t="shared" si="0"/>
        <v>8.5106382978723403</v>
      </c>
      <c r="AY16" s="278">
        <f t="shared" si="3"/>
        <v>2.9331169017061676E-2</v>
      </c>
      <c r="AZ16" s="231">
        <f t="shared" si="4"/>
        <v>1.9410877774786985E-2</v>
      </c>
      <c r="BA16" s="231"/>
    </row>
    <row r="17" spans="1:54" ht="21" customHeight="1" x14ac:dyDescent="0.25">
      <c r="A17" s="245"/>
      <c r="B17" s="892"/>
      <c r="C17" s="836"/>
      <c r="D17" s="843"/>
      <c r="E17" s="234"/>
      <c r="F17" s="841" t="s">
        <v>216</v>
      </c>
      <c r="G17" s="916">
        <v>30</v>
      </c>
      <c r="H17" s="237"/>
      <c r="I17" s="294" t="s">
        <v>28</v>
      </c>
      <c r="J17" s="381">
        <f>AVERAGE(0.56,0.8)</f>
        <v>0.68</v>
      </c>
      <c r="K17" s="315"/>
      <c r="L17" s="850" t="s">
        <v>38</v>
      </c>
      <c r="M17" s="850"/>
      <c r="N17" s="243"/>
      <c r="O17" s="237"/>
      <c r="P17" s="245"/>
      <c r="Q17" s="617"/>
      <c r="R17" s="410" t="s">
        <v>414</v>
      </c>
      <c r="S17" s="453">
        <f>$T9/$T$9</f>
        <v>1</v>
      </c>
      <c r="T17" s="851">
        <f>$T9/$T$10</f>
        <v>1.345547103977127</v>
      </c>
      <c r="U17" s="852"/>
      <c r="V17" s="453">
        <f>$T9/$T$11</f>
        <v>2.2372229872630478</v>
      </c>
      <c r="W17" s="454">
        <f>$T9/$V$15</f>
        <v>22.840354811036608</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8.5106382978723403</v>
      </c>
      <c r="AW17" s="277">
        <f t="shared" si="6"/>
        <v>106.38297872340425</v>
      </c>
      <c r="AX17" s="413">
        <f t="shared" si="0"/>
        <v>8.5106382978723403</v>
      </c>
      <c r="AY17" s="278">
        <f t="shared" si="3"/>
        <v>2.9331169017061676E-2</v>
      </c>
      <c r="AZ17" s="231">
        <f t="shared" si="4"/>
        <v>1.8754471279987431E-2</v>
      </c>
      <c r="BA17" s="231"/>
    </row>
    <row r="18" spans="1:54" ht="18" customHeight="1" x14ac:dyDescent="0.25">
      <c r="A18" s="245"/>
      <c r="B18" s="892"/>
      <c r="C18" s="837"/>
      <c r="D18" s="844"/>
      <c r="E18" s="234"/>
      <c r="F18" s="836"/>
      <c r="G18" s="848"/>
      <c r="H18" s="237"/>
      <c r="I18" s="853" t="s">
        <v>7</v>
      </c>
      <c r="J18" s="882">
        <f>AVERAGE(1.26,0.54)/0.75</f>
        <v>1.2</v>
      </c>
      <c r="K18" s="315"/>
      <c r="L18" s="612" t="s">
        <v>519</v>
      </c>
      <c r="M18" s="137">
        <v>0.75</v>
      </c>
      <c r="N18" s="243"/>
      <c r="O18" s="237"/>
      <c r="P18" s="245"/>
      <c r="Q18" s="617"/>
      <c r="R18" s="884" t="s">
        <v>415</v>
      </c>
      <c r="S18" s="885">
        <f>$T10/$T$9</f>
        <v>0.74319211645897088</v>
      </c>
      <c r="T18" s="858">
        <f>$T10/$T$10</f>
        <v>1</v>
      </c>
      <c r="U18" s="859"/>
      <c r="V18" s="885">
        <f>$T10/$T$11</f>
        <v>1.6626864868946856</v>
      </c>
      <c r="W18" s="890">
        <f>$T10/$V$15</f>
        <v>16.974771632688135</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8.5106382978723403</v>
      </c>
      <c r="AW18" s="277">
        <f t="shared" si="6"/>
        <v>106.38297872340425</v>
      </c>
      <c r="AX18" s="413">
        <f t="shared" si="0"/>
        <v>8.5106382978723403</v>
      </c>
      <c r="AY18" s="278">
        <f t="shared" si="3"/>
        <v>2.9331169017061676E-2</v>
      </c>
      <c r="AZ18" s="231">
        <f t="shared" si="4"/>
        <v>1.8120262106268045E-2</v>
      </c>
      <c r="BA18" s="231"/>
    </row>
    <row r="19" spans="1:54" ht="24" customHeight="1" x14ac:dyDescent="0.25">
      <c r="A19" s="245"/>
      <c r="B19" s="892"/>
      <c r="C19" s="836" t="s">
        <v>19</v>
      </c>
      <c r="D19" s="856">
        <v>0.82799999999999996</v>
      </c>
      <c r="E19" s="234"/>
      <c r="F19" s="837"/>
      <c r="G19" s="849"/>
      <c r="H19" s="237"/>
      <c r="I19" s="854"/>
      <c r="J19" s="883"/>
      <c r="K19" s="315"/>
      <c r="L19" s="612" t="s">
        <v>520</v>
      </c>
      <c r="M19" s="506">
        <v>40</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8.5106382978723403</v>
      </c>
      <c r="AW19" s="277">
        <f t="shared" si="6"/>
        <v>106.38297872340425</v>
      </c>
      <c r="AX19" s="413">
        <f t="shared" si="0"/>
        <v>8.5106382978723403</v>
      </c>
      <c r="AY19" s="278">
        <f t="shared" si="3"/>
        <v>2.9331169017061676E-2</v>
      </c>
      <c r="AZ19" s="231">
        <f t="shared" si="4"/>
        <v>1.7507499619582655E-2</v>
      </c>
      <c r="BA19" s="231"/>
    </row>
    <row r="20" spans="1:54" ht="35.1" customHeight="1" x14ac:dyDescent="0.25">
      <c r="A20" s="245"/>
      <c r="B20" s="892"/>
      <c r="C20" s="855"/>
      <c r="D20" s="857"/>
      <c r="E20" s="234"/>
      <c r="F20" s="308" t="s">
        <v>199</v>
      </c>
      <c r="G20" s="306">
        <v>0.3</v>
      </c>
      <c r="H20" s="237"/>
      <c r="I20" s="305" t="s">
        <v>321</v>
      </c>
      <c r="J20" s="304">
        <v>1</v>
      </c>
      <c r="K20" s="314"/>
      <c r="L20" s="320" t="s">
        <v>433</v>
      </c>
      <c r="M20" s="137">
        <v>3</v>
      </c>
      <c r="N20" s="243"/>
      <c r="O20" s="237"/>
      <c r="P20" s="237"/>
      <c r="Q20" s="617"/>
      <c r="R20" s="410" t="s">
        <v>416</v>
      </c>
      <c r="S20" s="453">
        <f>$T11/$T$9</f>
        <v>0.44698271280654522</v>
      </c>
      <c r="T20" s="851">
        <f>$T11/$T$10</f>
        <v>0.60143629474468685</v>
      </c>
      <c r="U20" s="852"/>
      <c r="V20" s="453">
        <f>$T11/$T$11</f>
        <v>1</v>
      </c>
      <c r="W20" s="454">
        <f>$T11/$V$15</f>
        <v>10.20924375490117</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106.38297872340425</v>
      </c>
      <c r="AU20" s="277"/>
      <c r="AV20" s="277">
        <f t="shared" si="2"/>
        <v>8.5106382978723403</v>
      </c>
      <c r="AW20" s="277">
        <f t="shared" si="6"/>
        <v>106.38297872340425</v>
      </c>
      <c r="AX20" s="413">
        <f t="shared" si="0"/>
        <v>8.5106382978723403</v>
      </c>
      <c r="AY20" s="278">
        <f t="shared" si="3"/>
        <v>2.9331169017061676E-2</v>
      </c>
      <c r="AZ20" s="231">
        <f t="shared" si="4"/>
        <v>1.6915458569645082E-2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4.3782156988068921E-2</v>
      </c>
      <c r="T21" s="862">
        <f>$V15/$T$10</f>
        <v>5.891095454116807E-2</v>
      </c>
      <c r="U21" s="863"/>
      <c r="V21" s="455">
        <f>$V15/$T$11</f>
        <v>9.7950448045667257E-2</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106.38297872340425</v>
      </c>
      <c r="AU21" s="277"/>
      <c r="AV21" s="277">
        <f t="shared" si="2"/>
        <v>8.5106382978723403</v>
      </c>
      <c r="AW21" s="277">
        <f t="shared" si="6"/>
        <v>106.38297872340425</v>
      </c>
      <c r="AX21" s="413">
        <f t="shared" si="0"/>
        <v>8.5106382978723403</v>
      </c>
      <c r="AY21" s="278">
        <f t="shared" si="3"/>
        <v>2.9331169017061676E-2</v>
      </c>
      <c r="AZ21" s="231">
        <f t="shared" si="4"/>
        <v>1.6343438231541142E-2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106.38297872340425</v>
      </c>
      <c r="AU22" s="277"/>
      <c r="AV22" s="277">
        <f t="shared" si="2"/>
        <v>8.5106382978723403</v>
      </c>
      <c r="AW22" s="277">
        <f t="shared" si="6"/>
        <v>106.38297872340425</v>
      </c>
      <c r="AX22" s="413">
        <f t="shared" si="0"/>
        <v>8.5106382978723403</v>
      </c>
      <c r="AY22" s="278">
        <f t="shared" si="3"/>
        <v>2.9331169017061676E-2</v>
      </c>
      <c r="AZ22" s="231">
        <f t="shared" si="4"/>
        <v>1.5790761576368256E-2</v>
      </c>
      <c r="BA22" s="231"/>
    </row>
    <row r="23" spans="1:54" ht="10.5" customHeight="1" x14ac:dyDescent="0.25">
      <c r="A23" s="245"/>
      <c r="B23" s="245"/>
      <c r="C23" s="245"/>
      <c r="D23" s="245"/>
      <c r="E23" s="237"/>
      <c r="F23" s="864" t="s">
        <v>34</v>
      </c>
      <c r="G23" s="256" t="s">
        <v>33</v>
      </c>
      <c r="H23" s="257"/>
      <c r="I23" s="450">
        <f>T9</f>
        <v>6.9032776676522828E-2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106.38297872340425</v>
      </c>
      <c r="AU23" s="277"/>
      <c r="AV23" s="277">
        <f t="shared" si="2"/>
        <v>8.5106382978723403</v>
      </c>
      <c r="AW23" s="277">
        <f t="shared" si="6"/>
        <v>106.38297872340425</v>
      </c>
      <c r="AX23" s="413">
        <f t="shared" si="0"/>
        <v>8.5106382978723403</v>
      </c>
      <c r="AY23" s="278">
        <f t="shared" si="3"/>
        <v>2.9331169017061676E-2</v>
      </c>
      <c r="AZ23" s="231">
        <f t="shared" si="4"/>
        <v>1.5256774469921019E-2</v>
      </c>
      <c r="BA23" s="231"/>
    </row>
    <row r="24" spans="1:54" ht="12" customHeight="1" thickBot="1" x14ac:dyDescent="0.3">
      <c r="A24" s="245"/>
      <c r="B24" s="245"/>
      <c r="C24" s="245"/>
      <c r="D24" s="245"/>
      <c r="E24" s="237"/>
      <c r="F24" s="865"/>
      <c r="G24" s="260" t="s">
        <v>32</v>
      </c>
      <c r="H24" s="261"/>
      <c r="I24" s="451">
        <f>T10</f>
        <v>5.1304615403264482E-2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106.38297872340425</v>
      </c>
      <c r="AU24" s="277"/>
      <c r="AV24" s="277">
        <f t="shared" si="2"/>
        <v>8.5106382978723403</v>
      </c>
      <c r="AW24" s="277">
        <f t="shared" si="6"/>
        <v>106.38297872340425</v>
      </c>
      <c r="AX24" s="413">
        <f t="shared" si="0"/>
        <v>35.106382978723403</v>
      </c>
      <c r="AY24" s="278">
        <f t="shared" si="3"/>
        <v>0.11581038317411263</v>
      </c>
      <c r="AZ24" s="231">
        <f t="shared" si="4"/>
        <v>5.8202347646268582E-2</v>
      </c>
      <c r="BA24" s="231"/>
    </row>
    <row r="25" spans="1:54" ht="10.7" customHeight="1" x14ac:dyDescent="0.25">
      <c r="A25" s="245"/>
      <c r="B25" s="792" t="s">
        <v>188</v>
      </c>
      <c r="C25" s="878"/>
      <c r="D25" s="878"/>
      <c r="E25" s="878"/>
      <c r="F25" s="865"/>
      <c r="G25" s="260" t="s">
        <v>168</v>
      </c>
      <c r="H25" s="261"/>
      <c r="I25" s="451">
        <f>T12</f>
        <v>6.9631609479930121E-2</v>
      </c>
      <c r="J25" s="262"/>
      <c r="K25" s="263"/>
      <c r="L25" s="262"/>
      <c r="M25" s="262"/>
      <c r="N25" s="262"/>
      <c r="O25" s="262"/>
      <c r="P25" s="237"/>
      <c r="Q25" s="866"/>
      <c r="R25" s="344" t="s">
        <v>38</v>
      </c>
      <c r="S25" s="457">
        <f>(R39/S39)*T5</f>
        <v>131.18698093661303</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3.0224038657738249E-3</v>
      </c>
      <c r="J26" s="262"/>
      <c r="K26" s="263"/>
      <c r="L26" s="262"/>
      <c r="M26" s="262"/>
      <c r="N26" s="262"/>
      <c r="O26" s="262"/>
      <c r="P26" s="237"/>
      <c r="Q26" s="866"/>
      <c r="R26" s="344" t="s">
        <v>42</v>
      </c>
      <c r="S26" s="457">
        <f>T9*$R$39</f>
        <v>274.72370119893174</v>
      </c>
      <c r="T26" s="458"/>
      <c r="U26" s="459" t="s">
        <v>42</v>
      </c>
      <c r="V26" s="459"/>
      <c r="W26" s="460">
        <f>S26/S$25</f>
        <v>2.0941384521355273</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0.86417262888257496</v>
      </c>
      <c r="J27" s="262"/>
      <c r="K27" s="263"/>
      <c r="L27" s="262"/>
      <c r="M27" s="262"/>
      <c r="N27" s="262"/>
      <c r="O27" s="262"/>
      <c r="P27" s="237"/>
      <c r="Q27" s="867"/>
      <c r="R27" s="344" t="s">
        <v>32</v>
      </c>
      <c r="S27" s="457">
        <f>T10*$R$39</f>
        <v>204.17248893547603</v>
      </c>
      <c r="T27" s="458"/>
      <c r="U27" s="459" t="s">
        <v>32</v>
      </c>
      <c r="V27" s="459"/>
      <c r="W27" s="460">
        <f>S27/S$25</f>
        <v>1.5563471884007161</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f>T12*$R$39</f>
        <v>277.10682371075347</v>
      </c>
      <c r="T28" s="458"/>
      <c r="U28" s="459" t="s">
        <v>168</v>
      </c>
      <c r="V28" s="459"/>
      <c r="W28" s="460">
        <f>S28/S$25</f>
        <v>2.1123042982797666</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22.840354811036608</v>
      </c>
      <c r="H29" s="268" t="s">
        <v>40</v>
      </c>
      <c r="I29" s="265"/>
      <c r="J29" s="265"/>
      <c r="K29" s="269"/>
      <c r="L29" s="237"/>
      <c r="M29" s="237"/>
      <c r="N29" s="237"/>
      <c r="O29" s="262"/>
      <c r="P29" s="237"/>
      <c r="R29" s="344" t="s">
        <v>14</v>
      </c>
      <c r="S29" s="457">
        <f>V15*$R$39</f>
        <v>12.027996214234967</v>
      </c>
      <c r="T29" s="458"/>
      <c r="U29" s="459" t="s">
        <v>14</v>
      </c>
      <c r="V29" s="459"/>
      <c r="W29" s="460">
        <f>S29/S$25</f>
        <v>9.1685898466149315E-2</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16.974771632688135</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f>IFERROR(I25/I$26,"-")</f>
        <v>23.038486109831112</v>
      </c>
      <c r="H31" s="268" t="s">
        <v>40</v>
      </c>
      <c r="I31" s="265"/>
      <c r="J31" s="265"/>
      <c r="K31" s="269"/>
      <c r="L31" s="237"/>
      <c r="M31" s="237"/>
      <c r="N31" s="237"/>
      <c r="O31" s="262"/>
      <c r="P31" s="237"/>
      <c r="Q31" s="341"/>
      <c r="R31" s="343" t="s">
        <v>42</v>
      </c>
      <c r="S31" s="457">
        <f>IFERROR(IF(S26-S$25&gt;0,S26-S$25,"N/A"),"N/A")</f>
        <v>143.53672026231871</v>
      </c>
      <c r="T31" s="463"/>
      <c r="U31" s="459"/>
      <c r="V31" s="459"/>
      <c r="W31" s="464" t="str">
        <f>IF(AND(S31&lt;&gt;"N/A",S31&gt;=$W$35),R31,"Bednets")</f>
        <v>Deworm the World</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f>IFERROR(IF(S27-S$25&gt;0,S27-S$25,"N/A"),"N/A")</f>
        <v>72.985507998863</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1738.3046978148059</v>
      </c>
      <c r="J33" s="262"/>
      <c r="K33" s="263"/>
      <c r="L33" s="237"/>
      <c r="M33" s="237"/>
      <c r="N33" s="237"/>
      <c r="O33" s="262"/>
      <c r="P33" s="237"/>
      <c r="Q33" s="285"/>
      <c r="R33" s="343" t="s">
        <v>168</v>
      </c>
      <c r="S33" s="457">
        <f>IFERROR(IF(S28-S$25&gt;0,S28-S$25,"N/A"),"N/A")</f>
        <v>145.91984277414045</v>
      </c>
      <c r="T33" s="463"/>
      <c r="U33" s="459"/>
      <c r="V33" s="459"/>
      <c r="W33" s="464" t="str">
        <f>IF(AND(S33&lt;&gt;"N/A",S33&gt;=$W$35),R33,"Bednets")</f>
        <v>Iodine</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2338.9708519745473</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3888.9752288186296</v>
      </c>
      <c r="J35" s="237"/>
      <c r="K35" s="243"/>
      <c r="L35" s="237"/>
      <c r="M35" s="237"/>
      <c r="N35" s="237"/>
      <c r="O35" s="237"/>
      <c r="P35" s="245"/>
      <c r="Q35" s="285"/>
      <c r="R35" s="898" t="s">
        <v>523</v>
      </c>
      <c r="S35" s="899"/>
      <c r="T35" s="899"/>
      <c r="U35" s="899"/>
      <c r="V35" s="899"/>
      <c r="W35" s="465">
        <f>$G$10*M19</f>
        <v>120</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v>0.19700000000000001</v>
      </c>
      <c r="E39" s="909"/>
      <c r="F39" s="910"/>
      <c r="G39" s="254">
        <v>1.75</v>
      </c>
      <c r="H39" s="911">
        <f>Parameters!$D$62</f>
        <v>4.7</v>
      </c>
      <c r="I39" s="912"/>
      <c r="J39" s="913">
        <f>Parameters!$D$59</f>
        <v>285.92228810603416</v>
      </c>
      <c r="K39" s="914"/>
      <c r="L39" s="914"/>
      <c r="M39" s="914"/>
      <c r="N39" s="915"/>
      <c r="O39" s="876">
        <f>Parameters!$D$60</f>
        <v>1000</v>
      </c>
      <c r="P39" s="877"/>
      <c r="Q39" s="279">
        <f>Parameters!$D$61</f>
        <v>212.7659574468085</v>
      </c>
      <c r="R39" s="478">
        <f>Parameters!$D$47*1.15</f>
        <v>3979.6125032931177</v>
      </c>
      <c r="S39" s="281">
        <f>Parameters!$D$48*1.15</f>
        <v>4.4333485497064578</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[3]Parameters!#REF!</xm:f>
          </x14:formula1>
          <xm:sqref>M7</xm:sqref>
        </x14:dataValidation>
        <x14:dataValidation type="list" allowBlank="1" showInputMessage="1">
          <x14:formula1>
            <xm:f>[3]Parameters!#REF!</xm:f>
          </x14:formula1>
          <xm:sqref>M10</xm:sqref>
        </x14:dataValidation>
        <x14:dataValidation type="list" allowBlank="1" showInputMessage="1">
          <x14:formula1>
            <xm:f>[3]Parameters!#REF!</xm:f>
          </x14:formula1>
          <xm:sqref>J15:J16</xm:sqref>
        </x14:dataValidation>
        <x14:dataValidation type="list" allowBlank="1" showInputMessage="1">
          <x14:formula1>
            <xm:f>[3]Parameters!#REF!</xm:f>
          </x14:formula1>
          <xm:sqref>G9</xm:sqref>
        </x14:dataValidation>
        <x14:dataValidation type="list" allowBlank="1" showInputMessage="1">
          <x14:formula1>
            <xm:f>[3]Parameters!#REF!</xm:f>
          </x14:formula1>
          <xm:sqref>D11</xm:sqref>
        </x14:dataValidation>
        <x14:dataValidation type="list" allowBlank="1" showInputMessage="1">
          <x14:formula1>
            <xm:f>[3]Parameters!#REF!</xm:f>
          </x14:formula1>
          <xm:sqref>D19:D20</xm:sqref>
        </x14:dataValidation>
        <x14:dataValidation type="list" allowBlank="1" showInputMessage="1">
          <x14:formula1>
            <xm:f>[3]Parameters!#REF!</xm:f>
          </x14:formula1>
          <xm:sqref>G7</xm:sqref>
        </x14:dataValidation>
        <x14:dataValidation type="list" allowBlank="1" showInputMessage="1">
          <x14:formula1>
            <xm:f>[3]Parameters!#REF!</xm:f>
          </x14:formula1>
          <xm:sqref>M19</xm:sqref>
        </x14:dataValidation>
        <x14:dataValidation type="list" allowBlank="1" showInputMessage="1">
          <x14:formula1>
            <xm:f>[3]Parameters!#REF!</xm:f>
          </x14:formula1>
          <xm:sqref>D16:D18</xm:sqref>
        </x14:dataValidation>
        <x14:dataValidation type="list" allowBlank="1" showInputMessage="1">
          <x14:formula1>
            <xm:f>[3]Parameters!#REF!</xm:f>
          </x14:formula1>
          <xm:sqref>J9</xm:sqref>
        </x14:dataValidation>
        <x14:dataValidation type="list" allowBlank="1" showInputMessage="1">
          <x14:formula1>
            <xm:f>[3]Parameters!#REF!</xm:f>
          </x14:formula1>
          <xm:sqref>G14</xm:sqref>
        </x14:dataValidation>
        <x14:dataValidation type="list" allowBlank="1" showInputMessage="1">
          <x14:formula1>
            <xm:f>[3]Parameters!#REF!</xm:f>
          </x14:formula1>
          <xm:sqref>M18</xm:sqref>
        </x14:dataValidation>
        <x14:dataValidation type="list" allowBlank="1" showInputMessage="1">
          <x14:formula1>
            <xm:f>[3]Parameters!#REF!</xm:f>
          </x14:formula1>
          <xm:sqref>M20</xm:sqref>
        </x14:dataValidation>
        <x14:dataValidation type="list" allowBlank="1" showInputMessage="1">
          <x14:formula1>
            <xm:f>[3]Parameters!#REF!</xm:f>
          </x14:formula1>
          <xm:sqref>G11</xm:sqref>
        </x14:dataValidation>
        <x14:dataValidation type="list" allowBlank="1" showInputMessage="1">
          <x14:formula1>
            <xm:f>[3]Parameters!#REF!</xm:f>
          </x14:formula1>
          <xm:sqref>D10</xm:sqref>
        </x14:dataValidation>
        <x14:dataValidation type="list" allowBlank="1" showInputMessage="1">
          <x14:formula1>
            <xm:f>[3]Parameters!#REF!</xm:f>
          </x14:formula1>
          <xm:sqref>D14</xm:sqref>
        </x14:dataValidation>
        <x14:dataValidation type="list" allowBlank="1" showInputMessage="1">
          <x14:formula1>
            <xm:f>[3]Parameters!#REF!</xm:f>
          </x14:formula1>
          <xm:sqref>G15:G16</xm:sqref>
        </x14:dataValidation>
        <x14:dataValidation type="list" allowBlank="1" showInputMessage="1">
          <x14:formula1>
            <xm:f>[3]Parameters!#REF!</xm:f>
          </x14:formula1>
          <xm:sqref>G17:G19</xm:sqref>
        </x14:dataValidation>
        <x14:dataValidation type="list" allowBlank="1" showInputMessage="1">
          <x14:formula1>
            <xm:f>[3]Parameters!#REF!</xm:f>
          </x14:formula1>
          <xm:sqref>J14</xm:sqref>
        </x14:dataValidation>
        <x14:dataValidation type="list" allowBlank="1" showInputMessage="1">
          <x14:formula1>
            <xm:f>[3]Parameters!#REF!</xm:f>
          </x14:formula1>
          <xm:sqref>J11</xm:sqref>
        </x14:dataValidation>
        <x14:dataValidation type="list" allowBlank="1" showInputMessage="1">
          <x14:formula1>
            <xm:f>[3]Parameters!#REF!</xm:f>
          </x14:formula1>
          <xm:sqref>M15</xm:sqref>
        </x14:dataValidation>
        <x14:dataValidation type="list" allowBlank="1" showInputMessage="1">
          <x14:formula1>
            <xm:f>[3]Parameters!#REF!</xm:f>
          </x14:formula1>
          <xm:sqref>M14</xm:sqref>
        </x14:dataValidation>
        <x14:dataValidation type="list" allowBlank="1" showInputMessage="1">
          <x14:formula1>
            <xm:f>[3]Parameters!#REF!</xm:f>
          </x14:formula1>
          <xm:sqref>M12</xm:sqref>
        </x14:dataValidation>
        <x14:dataValidation type="list" allowBlank="1" showInputMessage="1">
          <x14:formula1>
            <xm:f>[3]Parameters!#REF!</xm:f>
          </x14:formula1>
          <xm:sqref>M11</xm:sqref>
        </x14:dataValidation>
        <x14:dataValidation type="list" allowBlank="1" showInputMessage="1">
          <x14:formula1>
            <xm:f>[3]Parameters!#REF!</xm:f>
          </x14:formula1>
          <xm:sqref>M9</xm:sqref>
        </x14:dataValidation>
        <x14:dataValidation type="list" allowBlank="1" showInputMessage="1">
          <x14:formula1>
            <xm:f>[3]Parameters!#REF!</xm:f>
          </x14:formula1>
          <xm:sqref>M8</xm:sqref>
        </x14:dataValidation>
        <x14:dataValidation type="list" allowBlank="1" showInputMessage="1">
          <x14:formula1>
            <xm:f>[3]Parameters!#REF!</xm:f>
          </x14:formula1>
          <xm:sqref>J8</xm:sqref>
        </x14:dataValidation>
        <x14:dataValidation type="list" allowBlank="1" showInputMessage="1">
          <x14:formula1>
            <xm:f>[3]Parameters!#REF!</xm:f>
          </x14:formula1>
          <xm:sqref>K10</xm:sqref>
        </x14:dataValidation>
        <x14:dataValidation type="list" allowBlank="1" showInputMessage="1">
          <x14:formula1>
            <xm:f>[3]Parameters!#REF!</xm:f>
          </x14:formula1>
          <xm:sqref>J7</xm:sqref>
        </x14:dataValidation>
        <x14:dataValidation type="list" allowBlank="1" showInputMessage="1">
          <x14:formula1>
            <xm:f>[3]Parameters!#REF!</xm:f>
          </x14:formula1>
          <xm:sqref>K7</xm:sqref>
        </x14:dataValidation>
        <x14:dataValidation type="list" allowBlank="1" showInputMessage="1">
          <x14:formula1>
            <xm:f>[3]Parameters!#REF!</xm:f>
          </x14:formula1>
          <xm:sqref>J10</xm:sqref>
        </x14:dataValidation>
        <x14:dataValidation type="list" allowBlank="1" showInputMessage="1">
          <x14:formula1>
            <xm:f>[3]Parameters!#REF!</xm:f>
          </x14:formula1>
          <xm:sqref>J17:K17</xm:sqref>
        </x14:dataValidation>
        <x14:dataValidation type="list" allowBlank="1" showInputMessage="1">
          <x14:formula1>
            <xm:f>[3]Parameters!#REF!</xm:f>
          </x14:formula1>
          <xm:sqref>J20:K20</xm:sqref>
        </x14:dataValidation>
        <x14:dataValidation type="list" allowBlank="1" showInputMessage="1">
          <x14:formula1>
            <xm:f>[3]Parameters!#REF!</xm:f>
          </x14:formula1>
          <xm:sqref>D7</xm:sqref>
        </x14:dataValidation>
        <x14:dataValidation type="list" allowBlank="1" showInputMessage="1">
          <x14:formula1>
            <xm:f>[3]Parameters!#REF!</xm:f>
          </x14:formula1>
          <xm:sqref>G20</xm:sqref>
        </x14:dataValidation>
        <x14:dataValidation type="list" allowBlank="1" showInputMessage="1">
          <x14:formula1>
            <xm:f>[3]Parameters!#REF!</xm:f>
          </x14:formula1>
          <xm:sqref>G8</xm:sqref>
        </x14:dataValidation>
        <x14:dataValidation type="list" allowBlank="1" showInputMessage="1">
          <x14:formula1>
            <xm:f>[3]Parameters!#REF!</xm:f>
          </x14:formula1>
          <xm:sqref>G10</xm:sqref>
        </x14:dataValidation>
        <x14:dataValidation type="list" allowBlank="1" showInputMessage="1">
          <x14:formula1>
            <xm:f>[3]Parameters!#REF!</xm:f>
          </x14:formula1>
          <xm:sqref>J18:K19</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A13" workbookViewId="0">
      <selection activeCell="G32" sqref="G32"/>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0.18206978838571686</v>
      </c>
      <c r="S5" s="616">
        <f>R5*(1-1/(1+D7)^G17)/(1-1/(1+D7))</f>
        <v>2.6943855798927796</v>
      </c>
      <c r="T5" s="798">
        <f>S5*G11*G7*G9*G20*G8/G39</f>
        <v>3.3501515318797102E-2</v>
      </c>
      <c r="U5" s="798"/>
      <c r="V5" s="799">
        <f>$G$15*$G$10</f>
        <v>5.2824539999999998E-3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10.638297872340425</v>
      </c>
      <c r="AW5" s="277">
        <f>AT5</f>
        <v>106.38297872340425</v>
      </c>
      <c r="AX5" s="413">
        <f t="shared" si="0"/>
        <v>10.638297872340425</v>
      </c>
      <c r="AY5" s="278">
        <f t="shared" ref="AY5:AY68" si="3">IF(ISNUMBER(AS5),LN(AX5+$J$39)-LN($J$39),0)</f>
        <v>3.6531480770634062E-2</v>
      </c>
      <c r="AZ5" s="231">
        <f t="shared" ref="AZ5:AZ68" si="4">IF(ISNUMBER(AS5),AY5/(1+$D$7)^AS5,0)</f>
        <v>3.4791886448222911E-2</v>
      </c>
      <c r="BA5" s="231">
        <f>SUM(AZ5:AZ111)</f>
        <v>0.48763202530504579</v>
      </c>
      <c r="BB5" s="232">
        <f>SUM(AZ5:AZ23)</f>
        <v>0.44149466659186715</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0</v>
      </c>
      <c r="S6" s="616">
        <f>R6*(1-1/(1+D7)^G17)/(1-1/(1+D7))</f>
        <v>0</v>
      </c>
      <c r="T6" s="798">
        <f>S6*M8*M9*M14*(V39/U39)*G11</f>
        <v>0</v>
      </c>
      <c r="U6" s="798"/>
      <c r="V6" s="799">
        <v>0</v>
      </c>
      <c r="W6" s="811"/>
      <c r="X6" s="237"/>
      <c r="Y6" s="245"/>
      <c r="Z6" s="357" t="s">
        <v>42</v>
      </c>
      <c r="AA6" s="358"/>
      <c r="AB6" s="359">
        <f>$G$7*$G$8*$G$9*G$20*$J7</f>
        <v>5.3424232727272728E-3</v>
      </c>
      <c r="AC6" s="246"/>
      <c r="AD6" s="628" t="s">
        <v>669</v>
      </c>
      <c r="AE6" s="611">
        <f>M19</f>
        <v>36.525000000000006</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10.638297872340425</v>
      </c>
      <c r="AW6" s="277">
        <f t="shared" ref="AW6:AW69" si="6">AT6</f>
        <v>106.38297872340425</v>
      </c>
      <c r="AX6" s="413">
        <f t="shared" si="0"/>
        <v>10.638297872340425</v>
      </c>
      <c r="AY6" s="278">
        <f t="shared" si="3"/>
        <v>3.6531480770634062E-2</v>
      </c>
      <c r="AZ6" s="231">
        <f t="shared" si="4"/>
        <v>3.3135129950688492E-2</v>
      </c>
      <c r="BA6" s="231"/>
    </row>
    <row r="7" spans="1:54" ht="26.1" customHeight="1" x14ac:dyDescent="0.25">
      <c r="A7" s="245"/>
      <c r="B7" s="801" t="s">
        <v>45</v>
      </c>
      <c r="C7" s="299" t="s">
        <v>0</v>
      </c>
      <c r="D7" s="139">
        <v>0.05</v>
      </c>
      <c r="E7" s="233"/>
      <c r="F7" s="319" t="s">
        <v>662</v>
      </c>
      <c r="G7" s="335">
        <v>0.56060606060606055</v>
      </c>
      <c r="H7" s="235"/>
      <c r="I7" s="319" t="s">
        <v>8</v>
      </c>
      <c r="J7" s="378">
        <v>0.24959999999999999</v>
      </c>
      <c r="K7" s="312"/>
      <c r="L7" s="319" t="s">
        <v>175</v>
      </c>
      <c r="M7" s="322"/>
      <c r="N7" s="243"/>
      <c r="O7" s="237"/>
      <c r="P7" s="245"/>
      <c r="Q7" s="246"/>
      <c r="R7" s="237"/>
      <c r="S7" s="237"/>
      <c r="T7" s="237"/>
      <c r="U7" s="316"/>
      <c r="V7" s="237"/>
      <c r="W7" s="243"/>
      <c r="X7" s="237"/>
      <c r="Y7" s="245"/>
      <c r="Z7" s="357" t="s">
        <v>32</v>
      </c>
      <c r="AA7" s="358"/>
      <c r="AB7" s="359">
        <f>$G$7*$G$8*$G$9*G$20*$J8</f>
        <v>4.1502238484848481E-3</v>
      </c>
      <c r="AC7" s="246"/>
      <c r="AD7" s="628" t="s">
        <v>411</v>
      </c>
      <c r="AE7" s="611">
        <f>G10</f>
        <v>3</v>
      </c>
      <c r="AF7" s="245"/>
      <c r="AG7" s="245"/>
      <c r="AH7" s="245"/>
      <c r="AI7" s="245"/>
      <c r="AJ7" s="245"/>
      <c r="AK7" s="245"/>
      <c r="AL7" s="245"/>
      <c r="AM7" s="245"/>
      <c r="AN7" s="245"/>
      <c r="AO7" s="245"/>
      <c r="AP7" s="245"/>
      <c r="AQ7" s="245"/>
      <c r="AS7" s="231">
        <f t="shared" si="1"/>
        <v>3</v>
      </c>
      <c r="AT7" s="277">
        <f>IF(ISNUMBER(AS7),AW6,0)</f>
        <v>106.38297872340425</v>
      </c>
      <c r="AU7" s="277"/>
      <c r="AV7" s="277">
        <f t="shared" si="2"/>
        <v>10.638297872340425</v>
      </c>
      <c r="AW7" s="277">
        <f t="shared" si="6"/>
        <v>106.38297872340425</v>
      </c>
      <c r="AX7" s="413">
        <f t="shared" si="0"/>
        <v>10.638297872340425</v>
      </c>
      <c r="AY7" s="278">
        <f t="shared" si="3"/>
        <v>3.6531480770634062E-2</v>
      </c>
      <c r="AZ7" s="231">
        <f t="shared" si="4"/>
        <v>3.1557266619703324E-2</v>
      </c>
      <c r="BA7" s="231"/>
    </row>
    <row r="8" spans="1:54" ht="24.95" customHeight="1" thickBot="1" x14ac:dyDescent="0.3">
      <c r="A8" s="245"/>
      <c r="B8" s="801"/>
      <c r="C8" s="293"/>
      <c r="D8" s="293"/>
      <c r="E8" s="272"/>
      <c r="F8" s="321" t="s">
        <v>6</v>
      </c>
      <c r="G8" s="244">
        <v>0.23</v>
      </c>
      <c r="H8" s="236"/>
      <c r="I8" s="612" t="s">
        <v>9</v>
      </c>
      <c r="J8" s="376">
        <v>0.19389999999999999</v>
      </c>
      <c r="K8" s="313"/>
      <c r="L8" s="612" t="s">
        <v>169</v>
      </c>
      <c r="M8" s="613"/>
      <c r="N8" s="243"/>
      <c r="O8" s="237"/>
      <c r="P8" s="245"/>
      <c r="Q8" s="802" t="s">
        <v>191</v>
      </c>
      <c r="R8" s="237"/>
      <c r="S8" s="618" t="s">
        <v>306</v>
      </c>
      <c r="T8" s="803" t="s">
        <v>34</v>
      </c>
      <c r="U8" s="803"/>
      <c r="V8" s="803" t="s">
        <v>152</v>
      </c>
      <c r="W8" s="804"/>
      <c r="X8" s="237"/>
      <c r="Y8" s="245"/>
      <c r="Z8" s="357" t="s">
        <v>38</v>
      </c>
      <c r="AA8" s="358"/>
      <c r="AB8" s="359">
        <f>$G$7*$G$8*$G$9*G$20</f>
        <v>2.1403939393939395E-2</v>
      </c>
      <c r="AC8" s="371"/>
      <c r="AD8" s="372" t="s">
        <v>668</v>
      </c>
      <c r="AE8" s="373">
        <f>(AE7*M19)/S5</f>
        <v>40.667898766129994</v>
      </c>
      <c r="AF8" s="245"/>
      <c r="AG8" s="245"/>
      <c r="AH8" s="245"/>
      <c r="AI8" s="245"/>
      <c r="AJ8" s="245"/>
      <c r="AK8" s="245"/>
      <c r="AL8" s="245"/>
      <c r="AM8" s="245"/>
      <c r="AN8" s="245"/>
      <c r="AO8" s="245"/>
      <c r="AP8" s="245"/>
      <c r="AQ8" s="245"/>
      <c r="AS8" s="231">
        <f t="shared" si="1"/>
        <v>4</v>
      </c>
      <c r="AT8" s="277">
        <f t="shared" si="5"/>
        <v>106.38297872340425</v>
      </c>
      <c r="AU8" s="277"/>
      <c r="AV8" s="277">
        <f t="shared" si="2"/>
        <v>10.638297872340425</v>
      </c>
      <c r="AW8" s="277">
        <f t="shared" si="6"/>
        <v>106.38297872340425</v>
      </c>
      <c r="AX8" s="413">
        <f t="shared" si="0"/>
        <v>10.638297872340425</v>
      </c>
      <c r="AY8" s="278">
        <f t="shared" si="3"/>
        <v>3.6531480770634062E-2</v>
      </c>
      <c r="AZ8" s="231">
        <f t="shared" si="4"/>
        <v>3.005453963781269E-2</v>
      </c>
      <c r="BA8" s="231"/>
    </row>
    <row r="9" spans="1:54" ht="33.75" x14ac:dyDescent="0.25">
      <c r="A9" s="245"/>
      <c r="B9" s="801"/>
      <c r="C9" s="805" t="s">
        <v>14</v>
      </c>
      <c r="D9" s="805"/>
      <c r="E9" s="233"/>
      <c r="F9" s="612" t="s">
        <v>146</v>
      </c>
      <c r="G9" s="613">
        <v>1</v>
      </c>
      <c r="H9" s="236"/>
      <c r="I9" s="612" t="s">
        <v>164</v>
      </c>
      <c r="J9" s="376">
        <v>1</v>
      </c>
      <c r="K9" s="313"/>
      <c r="L9" s="612" t="s">
        <v>170</v>
      </c>
      <c r="M9" s="613"/>
      <c r="N9" s="243"/>
      <c r="O9" s="237"/>
      <c r="P9" s="245"/>
      <c r="Q9" s="802"/>
      <c r="R9" s="620" t="s">
        <v>44</v>
      </c>
      <c r="S9" s="619">
        <f>J11*($T$5*AB14*J14*J7+$V$5*J7)</f>
        <v>7.8411877809971223E-3</v>
      </c>
      <c r="T9" s="806">
        <f>S9/(J17/J9)</f>
        <v>1.0052804847432208E-2</v>
      </c>
      <c r="U9" s="806"/>
      <c r="V9" s="807">
        <f>($G$10*$M$19)/T9</f>
        <v>10899.943017195723</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10.638297872340425</v>
      </c>
      <c r="AW9" s="277">
        <f t="shared" si="6"/>
        <v>106.38297872340425</v>
      </c>
      <c r="AX9" s="413">
        <f t="shared" si="0"/>
        <v>10.638297872340425</v>
      </c>
      <c r="AY9" s="278">
        <f t="shared" si="3"/>
        <v>3.6531480770634062E-2</v>
      </c>
      <c r="AZ9" s="231">
        <f t="shared" si="4"/>
        <v>2.8623371083631131E-2</v>
      </c>
      <c r="BA9" s="231"/>
    </row>
    <row r="10" spans="1:54" ht="39.75" customHeight="1" x14ac:dyDescent="0.25">
      <c r="A10" s="245"/>
      <c r="B10" s="801"/>
      <c r="C10" s="290" t="s">
        <v>3</v>
      </c>
      <c r="D10" s="291">
        <v>0.1</v>
      </c>
      <c r="E10" s="283"/>
      <c r="F10" s="612" t="s">
        <v>323</v>
      </c>
      <c r="G10" s="466">
        <v>3</v>
      </c>
      <c r="H10" s="284"/>
      <c r="I10" s="612" t="s">
        <v>165</v>
      </c>
      <c r="J10" s="376">
        <v>1</v>
      </c>
      <c r="K10" s="313"/>
      <c r="L10" s="612" t="s">
        <v>184</v>
      </c>
      <c r="M10" s="613"/>
      <c r="N10" s="243"/>
      <c r="O10" s="237"/>
      <c r="P10" s="245"/>
      <c r="Q10" s="802"/>
      <c r="R10" s="620" t="s">
        <v>496</v>
      </c>
      <c r="S10" s="619">
        <f>J20*($T$5*AB15*J15*J8+$V$5*J8)</f>
        <v>5.565199987795459E-3</v>
      </c>
      <c r="T10" s="806">
        <f>S10/(J18/J10)</f>
        <v>6.1344797043600737E-3</v>
      </c>
      <c r="U10" s="806"/>
      <c r="V10" s="807">
        <f>($G$10*$M$19)/T10</f>
        <v>17862.150545892218</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10.638297872340425</v>
      </c>
      <c r="AW10" s="277">
        <f t="shared" si="6"/>
        <v>106.38297872340425</v>
      </c>
      <c r="AX10" s="413">
        <f t="shared" si="0"/>
        <v>10.638297872340425</v>
      </c>
      <c r="AY10" s="278">
        <f t="shared" si="3"/>
        <v>3.6531480770634062E-2</v>
      </c>
      <c r="AZ10" s="231">
        <f t="shared" si="4"/>
        <v>2.7260353412982032E-2</v>
      </c>
      <c r="BA10" s="231"/>
      <c r="BB10" s="498"/>
    </row>
    <row r="11" spans="1:54" ht="33" customHeight="1" x14ac:dyDescent="0.25">
      <c r="A11" s="245"/>
      <c r="B11" s="801"/>
      <c r="C11" s="296" t="s">
        <v>5</v>
      </c>
      <c r="D11" s="297">
        <v>0.5</v>
      </c>
      <c r="E11" s="234"/>
      <c r="F11" s="612" t="s">
        <v>301</v>
      </c>
      <c r="G11" s="466">
        <v>1.4</v>
      </c>
      <c r="H11" s="237"/>
      <c r="I11" s="612" t="s">
        <v>322</v>
      </c>
      <c r="J11" s="376">
        <v>0.81</v>
      </c>
      <c r="K11" s="313"/>
      <c r="L11" s="612" t="s">
        <v>183</v>
      </c>
      <c r="M11" s="613"/>
      <c r="N11" s="243"/>
      <c r="O11" s="245"/>
      <c r="P11" s="245"/>
      <c r="Q11" s="802"/>
      <c r="R11" s="620" t="s">
        <v>38</v>
      </c>
      <c r="S11" s="619" t="s">
        <v>408</v>
      </c>
      <c r="T11" s="806">
        <f>M18*((1/S39)*(1/M20)*T5*AB16+(1/R39)*M19*G10)</f>
        <v>3.096800434879755E-2</v>
      </c>
      <c r="U11" s="806">
        <f>(1/S39)*(1/M20)*T5+1/R39*(G10*S5)</f>
        <v>6.6809193413292639E-3</v>
      </c>
      <c r="V11" s="807">
        <f>($G$10*$M$19)/T11</f>
        <v>3538.3293920344172</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10.638297872340425</v>
      </c>
      <c r="AW11" s="277">
        <f t="shared" si="6"/>
        <v>106.38297872340425</v>
      </c>
      <c r="AX11" s="413">
        <f t="shared" si="0"/>
        <v>10.638297872340425</v>
      </c>
      <c r="AY11" s="278">
        <f t="shared" si="3"/>
        <v>3.6531480770634062E-2</v>
      </c>
      <c r="AZ11" s="231">
        <f t="shared" si="4"/>
        <v>2.5962241345697169E-2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T6</f>
        <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10.638297872340425</v>
      </c>
      <c r="AW12" s="277">
        <f t="shared" si="6"/>
        <v>106.38297872340425</v>
      </c>
      <c r="AX12" s="413">
        <f t="shared" si="0"/>
        <v>10.638297872340425</v>
      </c>
      <c r="AY12" s="278">
        <f t="shared" si="3"/>
        <v>3.6531480770634062E-2</v>
      </c>
      <c r="AZ12" s="231">
        <f t="shared" si="4"/>
        <v>2.4725944138759212E-2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10.638297872340425</v>
      </c>
      <c r="AW13" s="277">
        <f t="shared" si="6"/>
        <v>106.38297872340425</v>
      </c>
      <c r="AX13" s="413">
        <f t="shared" si="0"/>
        <v>10.638297872340425</v>
      </c>
      <c r="AY13" s="278">
        <f t="shared" si="3"/>
        <v>3.6531480770634062E-2</v>
      </c>
      <c r="AZ13" s="231">
        <f t="shared" si="4"/>
        <v>2.3548518227389723E-2</v>
      </c>
      <c r="BA13" s="231"/>
    </row>
    <row r="14" spans="1:54" ht="35.1" customHeight="1" x14ac:dyDescent="0.25">
      <c r="A14" s="245"/>
      <c r="B14" s="892" t="s">
        <v>214</v>
      </c>
      <c r="C14" s="836" t="s">
        <v>1</v>
      </c>
      <c r="D14" s="838">
        <v>20</v>
      </c>
      <c r="E14" s="233"/>
      <c r="F14" s="622" t="s">
        <v>560</v>
      </c>
      <c r="G14" s="528">
        <v>8</v>
      </c>
      <c r="H14" s="237"/>
      <c r="I14" s="614" t="s">
        <v>11</v>
      </c>
      <c r="J14" s="379">
        <v>1</v>
      </c>
      <c r="K14" s="237"/>
      <c r="L14" s="612" t="s">
        <v>178</v>
      </c>
      <c r="M14" s="613"/>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10.638297872340425</v>
      </c>
      <c r="AW14" s="277">
        <f t="shared" si="6"/>
        <v>106.38297872340425</v>
      </c>
      <c r="AX14" s="413">
        <f t="shared" si="0"/>
        <v>10.638297872340425</v>
      </c>
      <c r="AY14" s="278">
        <f t="shared" si="3"/>
        <v>3.6531480770634062E-2</v>
      </c>
      <c r="AZ14" s="231">
        <f t="shared" si="4"/>
        <v>2.2427160216561642E-2</v>
      </c>
      <c r="BA14" s="231"/>
    </row>
    <row r="15" spans="1:54" ht="21" customHeight="1" thickBot="1" x14ac:dyDescent="0.3">
      <c r="A15" s="245"/>
      <c r="B15" s="892"/>
      <c r="C15" s="837"/>
      <c r="D15" s="839"/>
      <c r="E15" s="234"/>
      <c r="F15" s="836" t="s">
        <v>2</v>
      </c>
      <c r="G15" s="917">
        <v>1.7608179999999999E-3</v>
      </c>
      <c r="H15" s="237"/>
      <c r="I15" s="818" t="s">
        <v>10</v>
      </c>
      <c r="J15" s="820">
        <v>0.9</v>
      </c>
      <c r="K15" s="314"/>
      <c r="L15" s="320" t="s">
        <v>181</v>
      </c>
      <c r="M15" s="334"/>
      <c r="N15" s="243"/>
      <c r="O15" s="237"/>
      <c r="P15" s="245"/>
      <c r="Q15" s="802"/>
      <c r="R15" s="624">
        <f>BA5</f>
        <v>0.48763202530504579</v>
      </c>
      <c r="S15" s="624">
        <f>AZ4</f>
        <v>0.31632022465180309</v>
      </c>
      <c r="T15" s="835">
        <f>R15+S15</f>
        <v>0.80395224995684889</v>
      </c>
      <c r="U15" s="835"/>
      <c r="V15" s="806">
        <f>T15/(Leon!Q39/Leon!D19)</f>
        <v>3.1286605759320734E-3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10.638297872340425</v>
      </c>
      <c r="AW15" s="277">
        <f t="shared" si="6"/>
        <v>106.38297872340425</v>
      </c>
      <c r="AX15" s="413">
        <f t="shared" si="0"/>
        <v>10.638297872340425</v>
      </c>
      <c r="AY15" s="278">
        <f t="shared" si="3"/>
        <v>3.6531480770634062E-2</v>
      </c>
      <c r="AZ15" s="231">
        <f t="shared" si="4"/>
        <v>2.1359200206249183E-2</v>
      </c>
      <c r="BA15" s="231"/>
    </row>
    <row r="16" spans="1:54" ht="21" customHeight="1" thickBot="1" x14ac:dyDescent="0.3">
      <c r="A16" s="245"/>
      <c r="B16" s="892"/>
      <c r="C16" s="841" t="s">
        <v>507</v>
      </c>
      <c r="D16" s="842">
        <v>0.25</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10.638297872340425</v>
      </c>
      <c r="AW16" s="277">
        <f t="shared" si="6"/>
        <v>106.38297872340425</v>
      </c>
      <c r="AX16" s="413">
        <f t="shared" si="0"/>
        <v>10.638297872340425</v>
      </c>
      <c r="AY16" s="278">
        <f t="shared" si="3"/>
        <v>3.6531480770634062E-2</v>
      </c>
      <c r="AZ16" s="231">
        <f t="shared" si="4"/>
        <v>2.0342095434523033E-2</v>
      </c>
      <c r="BA16" s="231"/>
    </row>
    <row r="17" spans="1:54" ht="21" customHeight="1" x14ac:dyDescent="0.25">
      <c r="A17" s="245"/>
      <c r="B17" s="892"/>
      <c r="C17" s="836"/>
      <c r="D17" s="843"/>
      <c r="E17" s="234"/>
      <c r="F17" s="841" t="s">
        <v>216</v>
      </c>
      <c r="G17" s="916">
        <v>25</v>
      </c>
      <c r="H17" s="237"/>
      <c r="I17" s="294" t="s">
        <v>28</v>
      </c>
      <c r="J17" s="381">
        <v>0.78</v>
      </c>
      <c r="K17" s="315"/>
      <c r="L17" s="850" t="s">
        <v>38</v>
      </c>
      <c r="M17" s="850"/>
      <c r="N17" s="243"/>
      <c r="O17" s="237"/>
      <c r="P17" s="245"/>
      <c r="Q17" s="617"/>
      <c r="R17" s="410" t="s">
        <v>414</v>
      </c>
      <c r="S17" s="453">
        <f>$T9/$T$9</f>
        <v>1</v>
      </c>
      <c r="T17" s="851">
        <f>$T9/$T$10</f>
        <v>1.6387379748419724</v>
      </c>
      <c r="U17" s="852"/>
      <c r="V17" s="453">
        <f>$T9/$T$11</f>
        <v>0.32461907245316396</v>
      </c>
      <c r="W17" s="454">
        <f>$T9/$V$15</f>
        <v>3.2131337367708324</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10.638297872340425</v>
      </c>
      <c r="AW17" s="277">
        <f t="shared" si="6"/>
        <v>106.38297872340425</v>
      </c>
      <c r="AX17" s="413">
        <f t="shared" si="0"/>
        <v>10.638297872340425</v>
      </c>
      <c r="AY17" s="278">
        <f t="shared" si="3"/>
        <v>3.6531480770634062E-2</v>
      </c>
      <c r="AZ17" s="231">
        <f t="shared" si="4"/>
        <v>1.9373424223355265E-2</v>
      </c>
      <c r="BA17" s="231"/>
    </row>
    <row r="18" spans="1:54" ht="18" customHeight="1" x14ac:dyDescent="0.25">
      <c r="A18" s="245"/>
      <c r="B18" s="892"/>
      <c r="C18" s="837"/>
      <c r="D18" s="844"/>
      <c r="E18" s="234"/>
      <c r="F18" s="836"/>
      <c r="G18" s="848"/>
      <c r="H18" s="237"/>
      <c r="I18" s="853" t="s">
        <v>7</v>
      </c>
      <c r="J18" s="882">
        <v>0.90720000000000001</v>
      </c>
      <c r="K18" s="315"/>
      <c r="L18" s="612" t="s">
        <v>519</v>
      </c>
      <c r="M18" s="137">
        <v>0.86</v>
      </c>
      <c r="N18" s="243"/>
      <c r="O18" s="237"/>
      <c r="P18" s="245"/>
      <c r="Q18" s="617"/>
      <c r="R18" s="884" t="s">
        <v>415</v>
      </c>
      <c r="S18" s="885">
        <f>$T10/$T$9</f>
        <v>0.61022568302686253</v>
      </c>
      <c r="T18" s="858">
        <f>$T10/$T$10</f>
        <v>1</v>
      </c>
      <c r="U18" s="859"/>
      <c r="V18" s="885">
        <f>$T10/$T$11</f>
        <v>0.19809089521127854</v>
      </c>
      <c r="W18" s="890">
        <f>$T10/$V$15</f>
        <v>1.9607367291776363</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10.638297872340425</v>
      </c>
      <c r="AW18" s="277">
        <f t="shared" si="6"/>
        <v>106.38297872340425</v>
      </c>
      <c r="AX18" s="413">
        <f t="shared" si="0"/>
        <v>10.638297872340425</v>
      </c>
      <c r="AY18" s="278">
        <f t="shared" si="3"/>
        <v>3.6531480770634062E-2</v>
      </c>
      <c r="AZ18" s="231">
        <f t="shared" si="4"/>
        <v>1.8450880212719307E-2</v>
      </c>
      <c r="BA18" s="231"/>
    </row>
    <row r="19" spans="1:54" ht="24" customHeight="1" x14ac:dyDescent="0.25">
      <c r="A19" s="245"/>
      <c r="B19" s="892"/>
      <c r="C19" s="836" t="s">
        <v>19</v>
      </c>
      <c r="D19" s="856">
        <v>0.82799999999999996</v>
      </c>
      <c r="E19" s="234"/>
      <c r="F19" s="837"/>
      <c r="G19" s="849"/>
      <c r="H19" s="237"/>
      <c r="I19" s="854"/>
      <c r="J19" s="883"/>
      <c r="K19" s="315"/>
      <c r="L19" s="612" t="s">
        <v>520</v>
      </c>
      <c r="M19" s="506">
        <v>36.525000000000006</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10.638297872340425</v>
      </c>
      <c r="AW19" s="277">
        <f t="shared" si="6"/>
        <v>106.38297872340425</v>
      </c>
      <c r="AX19" s="413">
        <f t="shared" si="0"/>
        <v>10.638297872340425</v>
      </c>
      <c r="AY19" s="278">
        <f t="shared" si="3"/>
        <v>3.6531480770634062E-2</v>
      </c>
      <c r="AZ19" s="231">
        <f t="shared" si="4"/>
        <v>1.7572266869256475E-2</v>
      </c>
      <c r="BA19" s="231"/>
    </row>
    <row r="20" spans="1:54" ht="35.1" customHeight="1" x14ac:dyDescent="0.25">
      <c r="A20" s="245"/>
      <c r="B20" s="892"/>
      <c r="C20" s="855"/>
      <c r="D20" s="857"/>
      <c r="E20" s="234"/>
      <c r="F20" s="308" t="s">
        <v>199</v>
      </c>
      <c r="G20" s="306">
        <v>0.16600000000000001</v>
      </c>
      <c r="H20" s="237"/>
      <c r="I20" s="305" t="s">
        <v>321</v>
      </c>
      <c r="J20" s="304">
        <v>0.81</v>
      </c>
      <c r="K20" s="314"/>
      <c r="L20" s="320" t="s">
        <v>433</v>
      </c>
      <c r="M20" s="137">
        <v>2</v>
      </c>
      <c r="N20" s="243"/>
      <c r="O20" s="237"/>
      <c r="P20" s="237"/>
      <c r="Q20" s="617"/>
      <c r="R20" s="410" t="s">
        <v>416</v>
      </c>
      <c r="S20" s="453">
        <f>$T11/$T$9</f>
        <v>3.080533723551564</v>
      </c>
      <c r="T20" s="851">
        <f>$T11/$T$10</f>
        <v>5.04818759556529</v>
      </c>
      <c r="U20" s="852"/>
      <c r="V20" s="453">
        <f>$T11/$T$11</f>
        <v>1</v>
      </c>
      <c r="W20" s="454">
        <f>$T11/$V$15</f>
        <v>9.8981668344038027</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106.38297872340425</v>
      </c>
      <c r="AU20" s="277"/>
      <c r="AV20" s="277">
        <f t="shared" si="2"/>
        <v>10.638297872340425</v>
      </c>
      <c r="AW20" s="277">
        <f t="shared" si="6"/>
        <v>106.38297872340425</v>
      </c>
      <c r="AX20" s="413">
        <f t="shared" si="0"/>
        <v>10.638297872340425</v>
      </c>
      <c r="AY20" s="278">
        <f t="shared" si="3"/>
        <v>3.6531480770634062E-2</v>
      </c>
      <c r="AZ20" s="231">
        <f t="shared" si="4"/>
        <v>1.6735492256434739E-2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0.31122265113215924</v>
      </c>
      <c r="T21" s="862">
        <f>$V15/$T$10</f>
        <v>0.51001237704126434</v>
      </c>
      <c r="U21" s="863"/>
      <c r="V21" s="455">
        <f>$V15/$T$11</f>
        <v>0.10102880833693617</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106.38297872340425</v>
      </c>
      <c r="AU21" s="277"/>
      <c r="AV21" s="277">
        <f t="shared" si="2"/>
        <v>10.638297872340425</v>
      </c>
      <c r="AW21" s="277">
        <f t="shared" si="6"/>
        <v>106.38297872340425</v>
      </c>
      <c r="AX21" s="413">
        <f t="shared" si="0"/>
        <v>10.638297872340425</v>
      </c>
      <c r="AY21" s="278">
        <f t="shared" si="3"/>
        <v>3.6531480770634062E-2</v>
      </c>
      <c r="AZ21" s="231">
        <f t="shared" si="4"/>
        <v>1.593856405374737E-2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106.38297872340425</v>
      </c>
      <c r="AU22" s="277"/>
      <c r="AV22" s="277">
        <f t="shared" si="2"/>
        <v>10.638297872340425</v>
      </c>
      <c r="AW22" s="277">
        <f t="shared" si="6"/>
        <v>106.38297872340425</v>
      </c>
      <c r="AX22" s="413">
        <f t="shared" si="0"/>
        <v>10.638297872340425</v>
      </c>
      <c r="AY22" s="278">
        <f t="shared" si="3"/>
        <v>3.6531480770634062E-2</v>
      </c>
      <c r="AZ22" s="231">
        <f t="shared" si="4"/>
        <v>1.5179584813092733E-2</v>
      </c>
      <c r="BA22" s="231"/>
    </row>
    <row r="23" spans="1:54" ht="10.5" customHeight="1" x14ac:dyDescent="0.25">
      <c r="A23" s="245"/>
      <c r="B23" s="245"/>
      <c r="C23" s="245"/>
      <c r="D23" s="245"/>
      <c r="E23" s="237"/>
      <c r="F23" s="864" t="s">
        <v>34</v>
      </c>
      <c r="G23" s="256" t="s">
        <v>33</v>
      </c>
      <c r="H23" s="257"/>
      <c r="I23" s="450">
        <f>T9</f>
        <v>1.0052804847432208E-2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106.38297872340425</v>
      </c>
      <c r="AU23" s="277"/>
      <c r="AV23" s="277">
        <f t="shared" si="2"/>
        <v>10.638297872340425</v>
      </c>
      <c r="AW23" s="277">
        <f t="shared" si="6"/>
        <v>106.38297872340425</v>
      </c>
      <c r="AX23" s="413">
        <f t="shared" si="0"/>
        <v>10.638297872340425</v>
      </c>
      <c r="AY23" s="278">
        <f t="shared" si="3"/>
        <v>3.6531480770634062E-2</v>
      </c>
      <c r="AZ23" s="231">
        <f t="shared" si="4"/>
        <v>1.4456747441040698E-2</v>
      </c>
      <c r="BA23" s="231"/>
    </row>
    <row r="24" spans="1:54" ht="12" customHeight="1" thickBot="1" x14ac:dyDescent="0.3">
      <c r="A24" s="245"/>
      <c r="B24" s="245"/>
      <c r="C24" s="245"/>
      <c r="D24" s="245"/>
      <c r="E24" s="237"/>
      <c r="F24" s="865"/>
      <c r="G24" s="260" t="s">
        <v>32</v>
      </c>
      <c r="H24" s="261"/>
      <c r="I24" s="451">
        <f>T10</f>
        <v>6.1344797043600737E-3</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106.38297872340425</v>
      </c>
      <c r="AU24" s="277"/>
      <c r="AV24" s="277">
        <f t="shared" si="2"/>
        <v>10.638297872340425</v>
      </c>
      <c r="AW24" s="277">
        <f t="shared" si="6"/>
        <v>106.38297872340425</v>
      </c>
      <c r="AX24" s="413">
        <f t="shared" si="0"/>
        <v>37.234042553191486</v>
      </c>
      <c r="AY24" s="278">
        <f t="shared" si="3"/>
        <v>0.12241614799510181</v>
      </c>
      <c r="AZ24" s="231">
        <f t="shared" si="4"/>
        <v>4.6137358713178631E-2</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f>(R39/S39)*T5</f>
        <v>30.072765032376822</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3.1286605759320734E-3</v>
      </c>
      <c r="J26" s="262"/>
      <c r="K26" s="263"/>
      <c r="L26" s="262"/>
      <c r="M26" s="262"/>
      <c r="N26" s="262"/>
      <c r="O26" s="262"/>
      <c r="P26" s="237"/>
      <c r="Q26" s="866"/>
      <c r="R26" s="344" t="s">
        <v>42</v>
      </c>
      <c r="S26" s="457">
        <f>T9*$R$39</f>
        <v>34.788059012179893</v>
      </c>
      <c r="T26" s="458"/>
      <c r="U26" s="459" t="s">
        <v>42</v>
      </c>
      <c r="V26" s="459"/>
      <c r="W26" s="460">
        <f>S26/S$25</f>
        <v>1.1567961567460294</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0.89455379057764106</v>
      </c>
      <c r="J27" s="262"/>
      <c r="K27" s="263"/>
      <c r="L27" s="262"/>
      <c r="M27" s="262"/>
      <c r="N27" s="262"/>
      <c r="O27" s="262"/>
      <c r="P27" s="237"/>
      <c r="Q27" s="867"/>
      <c r="R27" s="344" t="s">
        <v>32</v>
      </c>
      <c r="S27" s="457">
        <f>T10*$R$39</f>
        <v>21.228567071886278</v>
      </c>
      <c r="T27" s="458"/>
      <c r="U27" s="459" t="s">
        <v>32</v>
      </c>
      <c r="V27" s="459"/>
      <c r="W27" s="460">
        <f>S27/S$25</f>
        <v>0.7059067248731955</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T12*$R$39</f>
        <v>#DIV/0!</v>
      </c>
      <c r="T28" s="458"/>
      <c r="U28" s="459" t="s">
        <v>168</v>
      </c>
      <c r="V28" s="459"/>
      <c r="W28" s="460" t="e">
        <f>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3.2131337367708324</v>
      </c>
      <c r="H29" s="268" t="s">
        <v>40</v>
      </c>
      <c r="I29" s="265"/>
      <c r="J29" s="265"/>
      <c r="K29" s="269"/>
      <c r="L29" s="237"/>
      <c r="M29" s="237"/>
      <c r="N29" s="237"/>
      <c r="O29" s="262"/>
      <c r="P29" s="237"/>
      <c r="R29" s="344" t="s">
        <v>14</v>
      </c>
      <c r="S29" s="457">
        <f>V15*$R$39</f>
        <v>10.826831953512631</v>
      </c>
      <c r="T29" s="458"/>
      <c r="U29" s="459" t="s">
        <v>14</v>
      </c>
      <c r="V29" s="459"/>
      <c r="W29" s="460">
        <f>S29/S$25</f>
        <v>0.36002116672199214</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1.9607367291776363</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t="str">
        <f>IFERROR(I25/I$26,"-")</f>
        <v>-</v>
      </c>
      <c r="H31" s="268" t="s">
        <v>40</v>
      </c>
      <c r="I31" s="265"/>
      <c r="J31" s="265"/>
      <c r="K31" s="269"/>
      <c r="L31" s="237"/>
      <c r="M31" s="237"/>
      <c r="N31" s="237"/>
      <c r="O31" s="262"/>
      <c r="P31" s="237"/>
      <c r="Q31" s="341"/>
      <c r="R31" s="343" t="s">
        <v>42</v>
      </c>
      <c r="S31" s="457">
        <f>IFERROR(IF(S26-S$25&gt;0,S26-S$25,"N/A"),"N/A")</f>
        <v>4.7152939798030715</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10899.943017195723</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17862.150545892218</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3538.3293920344172</v>
      </c>
      <c r="J35" s="237"/>
      <c r="K35" s="243"/>
      <c r="L35" s="237"/>
      <c r="M35" s="237"/>
      <c r="N35" s="237"/>
      <c r="O35" s="237"/>
      <c r="P35" s="245"/>
      <c r="Q35" s="285"/>
      <c r="R35" s="898" t="s">
        <v>523</v>
      </c>
      <c r="S35" s="899"/>
      <c r="T35" s="899"/>
      <c r="U35" s="899"/>
      <c r="V35" s="899"/>
      <c r="W35" s="465">
        <f>$G$10*M19</f>
        <v>109.57500000000002</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[5]Parameters!#REF!</xm:f>
          </x14:formula1>
          <xm:sqref>M7</xm:sqref>
        </x14:dataValidation>
        <x14:dataValidation type="list" allowBlank="1" showInputMessage="1">
          <x14:formula1>
            <xm:f>[5]Parameters!#REF!</xm:f>
          </x14:formula1>
          <xm:sqref>M10</xm:sqref>
        </x14:dataValidation>
        <x14:dataValidation type="list" allowBlank="1" showInputMessage="1">
          <x14:formula1>
            <xm:f>[5]Parameters!#REF!</xm:f>
          </x14:formula1>
          <xm:sqref>J15:J16</xm:sqref>
        </x14:dataValidation>
        <x14:dataValidation type="list" allowBlank="1" showInputMessage="1">
          <x14:formula1>
            <xm:f>[5]Parameters!#REF!</xm:f>
          </x14:formula1>
          <xm:sqref>G9</xm:sqref>
        </x14:dataValidation>
        <x14:dataValidation type="list" allowBlank="1" showInputMessage="1">
          <x14:formula1>
            <xm:f>[5]Parameters!#REF!</xm:f>
          </x14:formula1>
          <xm:sqref>D11</xm:sqref>
        </x14:dataValidation>
        <x14:dataValidation type="list" allowBlank="1" showInputMessage="1">
          <x14:formula1>
            <xm:f>[5]Parameters!#REF!</xm:f>
          </x14:formula1>
          <xm:sqref>D19:D20</xm:sqref>
        </x14:dataValidation>
        <x14:dataValidation type="list" allowBlank="1" showInputMessage="1">
          <x14:formula1>
            <xm:f>[5]Parameters!#REF!</xm:f>
          </x14:formula1>
          <xm:sqref>G7</xm:sqref>
        </x14:dataValidation>
        <x14:dataValidation type="list" allowBlank="1" showInputMessage="1">
          <x14:formula1>
            <xm:f>[5]Parameters!#REF!</xm:f>
          </x14:formula1>
          <xm:sqref>M19</xm:sqref>
        </x14:dataValidation>
        <x14:dataValidation type="list" allowBlank="1" showInputMessage="1">
          <x14:formula1>
            <xm:f>[5]Parameters!#REF!</xm:f>
          </x14:formula1>
          <xm:sqref>D16:D18</xm:sqref>
        </x14:dataValidation>
        <x14:dataValidation type="list" allowBlank="1" showInputMessage="1">
          <x14:formula1>
            <xm:f>[5]Parameters!#REF!</xm:f>
          </x14:formula1>
          <xm:sqref>J9</xm:sqref>
        </x14:dataValidation>
        <x14:dataValidation type="list" allowBlank="1" showInputMessage="1">
          <x14:formula1>
            <xm:f>[5]Parameters!#REF!</xm:f>
          </x14:formula1>
          <xm:sqref>G14</xm:sqref>
        </x14:dataValidation>
        <x14:dataValidation type="list" allowBlank="1" showInputMessage="1">
          <x14:formula1>
            <xm:f>[5]Parameters!#REF!</xm:f>
          </x14:formula1>
          <xm:sqref>M18</xm:sqref>
        </x14:dataValidation>
        <x14:dataValidation type="list" allowBlank="1" showInputMessage="1">
          <x14:formula1>
            <xm:f>[5]Parameters!#REF!</xm:f>
          </x14:formula1>
          <xm:sqref>M20</xm:sqref>
        </x14:dataValidation>
        <x14:dataValidation type="list" allowBlank="1" showInputMessage="1">
          <x14:formula1>
            <xm:f>[5]Parameters!#REF!</xm:f>
          </x14:formula1>
          <xm:sqref>G11</xm:sqref>
        </x14:dataValidation>
        <x14:dataValidation type="list" allowBlank="1" showInputMessage="1">
          <x14:formula1>
            <xm:f>[5]Parameters!#REF!</xm:f>
          </x14:formula1>
          <xm:sqref>D10</xm:sqref>
        </x14:dataValidation>
        <x14:dataValidation type="list" allowBlank="1" showInputMessage="1">
          <x14:formula1>
            <xm:f>[5]Parameters!#REF!</xm:f>
          </x14:formula1>
          <xm:sqref>D14</xm:sqref>
        </x14:dataValidation>
        <x14:dataValidation type="list" allowBlank="1" showInputMessage="1">
          <x14:formula1>
            <xm:f>[5]Parameters!#REF!</xm:f>
          </x14:formula1>
          <xm:sqref>G15:G16</xm:sqref>
        </x14:dataValidation>
        <x14:dataValidation type="list" allowBlank="1" showInputMessage="1">
          <x14:formula1>
            <xm:f>[5]Parameters!#REF!</xm:f>
          </x14:formula1>
          <xm:sqref>G17:G19</xm:sqref>
        </x14:dataValidation>
        <x14:dataValidation type="list" allowBlank="1" showInputMessage="1">
          <x14:formula1>
            <xm:f>[5]Parameters!#REF!</xm:f>
          </x14:formula1>
          <xm:sqref>J14</xm:sqref>
        </x14:dataValidation>
        <x14:dataValidation type="list" allowBlank="1" showInputMessage="1">
          <x14:formula1>
            <xm:f>[5]Parameters!#REF!</xm:f>
          </x14:formula1>
          <xm:sqref>J11</xm:sqref>
        </x14:dataValidation>
        <x14:dataValidation type="list" allowBlank="1" showInputMessage="1">
          <x14:formula1>
            <xm:f>[5]Parameters!#REF!</xm:f>
          </x14:formula1>
          <xm:sqref>M15</xm:sqref>
        </x14:dataValidation>
        <x14:dataValidation type="list" allowBlank="1" showInputMessage="1">
          <x14:formula1>
            <xm:f>[5]Parameters!#REF!</xm:f>
          </x14:formula1>
          <xm:sqref>M14</xm:sqref>
        </x14:dataValidation>
        <x14:dataValidation type="list" allowBlank="1" showInputMessage="1">
          <x14:formula1>
            <xm:f>[5]Parameters!#REF!</xm:f>
          </x14:formula1>
          <xm:sqref>M12</xm:sqref>
        </x14:dataValidation>
        <x14:dataValidation type="list" allowBlank="1" showInputMessage="1">
          <x14:formula1>
            <xm:f>[5]Parameters!#REF!</xm:f>
          </x14:formula1>
          <xm:sqref>M11</xm:sqref>
        </x14:dataValidation>
        <x14:dataValidation type="list" allowBlank="1" showInputMessage="1">
          <x14:formula1>
            <xm:f>[5]Parameters!#REF!</xm:f>
          </x14:formula1>
          <xm:sqref>M9</xm:sqref>
        </x14:dataValidation>
        <x14:dataValidation type="list" allowBlank="1" showInputMessage="1">
          <x14:formula1>
            <xm:f>[5]Parameters!#REF!</xm:f>
          </x14:formula1>
          <xm:sqref>M8</xm:sqref>
        </x14:dataValidation>
        <x14:dataValidation type="list" allowBlank="1" showInputMessage="1">
          <x14:formula1>
            <xm:f>[5]Parameters!#REF!</xm:f>
          </x14:formula1>
          <xm:sqref>J8</xm:sqref>
        </x14:dataValidation>
        <x14:dataValidation type="list" allowBlank="1" showInputMessage="1">
          <x14:formula1>
            <xm:f>[5]Parameters!#REF!</xm:f>
          </x14:formula1>
          <xm:sqref>K10</xm:sqref>
        </x14:dataValidation>
        <x14:dataValidation type="list" allowBlank="1" showInputMessage="1">
          <x14:formula1>
            <xm:f>[5]Parameters!#REF!</xm:f>
          </x14:formula1>
          <xm:sqref>J7</xm:sqref>
        </x14:dataValidation>
        <x14:dataValidation type="list" allowBlank="1" showInputMessage="1">
          <x14:formula1>
            <xm:f>[5]Parameters!#REF!</xm:f>
          </x14:formula1>
          <xm:sqref>K7</xm:sqref>
        </x14:dataValidation>
        <x14:dataValidation type="list" allowBlank="1" showInputMessage="1">
          <x14:formula1>
            <xm:f>[5]Parameters!#REF!</xm:f>
          </x14:formula1>
          <xm:sqref>J10</xm:sqref>
        </x14:dataValidation>
        <x14:dataValidation type="list" allowBlank="1" showInputMessage="1">
          <x14:formula1>
            <xm:f>[5]Parameters!#REF!</xm:f>
          </x14:formula1>
          <xm:sqref>J17:K17</xm:sqref>
        </x14:dataValidation>
        <x14:dataValidation type="list" allowBlank="1" showInputMessage="1">
          <x14:formula1>
            <xm:f>[5]Parameters!#REF!</xm:f>
          </x14:formula1>
          <xm:sqref>J20:K20</xm:sqref>
        </x14:dataValidation>
        <x14:dataValidation type="list" allowBlank="1" showInputMessage="1">
          <x14:formula1>
            <xm:f>[5]Parameters!#REF!</xm:f>
          </x14:formula1>
          <xm:sqref>D7</xm:sqref>
        </x14:dataValidation>
        <x14:dataValidation type="list" allowBlank="1" showInputMessage="1">
          <x14:formula1>
            <xm:f>[5]Parameters!#REF!</xm:f>
          </x14:formula1>
          <xm:sqref>G20</xm:sqref>
        </x14:dataValidation>
        <x14:dataValidation type="list" allowBlank="1" showInputMessage="1">
          <x14:formula1>
            <xm:f>[5]Parameters!#REF!</xm:f>
          </x14:formula1>
          <xm:sqref>G8</xm:sqref>
        </x14:dataValidation>
        <x14:dataValidation type="list" allowBlank="1" showInputMessage="1">
          <x14:formula1>
            <xm:f>[5]Parameters!#REF!</xm:f>
          </x14:formula1>
          <xm:sqref>G10</xm:sqref>
        </x14:dataValidation>
        <x14:dataValidation type="list" allowBlank="1" showInputMessage="1">
          <x14:formula1>
            <xm:f>[5]Parameters!#REF!</xm:f>
          </x14:formula1>
          <xm:sqref>J18:K19</xm:sqref>
        </x14:dataValidation>
      </x14:dataValidation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A17" workbookViewId="0">
      <selection activeCell="G32" sqref="G32"/>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106.38297872340425</v>
      </c>
      <c r="AV4" s="277"/>
      <c r="AW4" s="231"/>
      <c r="AX4" s="413">
        <f t="shared" ref="AX4:AX67" si="0">IF(ISNUMBER(AS5),AU4+AV4,AU4+AV4+AW4*$D$16)</f>
        <v>106.38297872340425</v>
      </c>
      <c r="AY4" s="278">
        <f>IF(ISNUMBER(AS4),LN(AX4+$J$39)-LN($J$39),0)</f>
        <v>0.31632022465180309</v>
      </c>
      <c r="AZ4" s="231">
        <f>IF(ISNUMBER(AS4),AY4/(1+$D$7)^AS4,0)</f>
        <v>0.31632022465180309</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0.21076853878001547</v>
      </c>
      <c r="S5" s="616">
        <f>R5*(1-1/(1+D7)^G17)/(1-1/(1+D7))</f>
        <v>2.7579739570596633</v>
      </c>
      <c r="T5" s="798">
        <f>S5*G11*G7*G9*G20*G8/G39</f>
        <v>6.4881491391996615E-2</v>
      </c>
      <c r="U5" s="798"/>
      <c r="V5" s="799">
        <f>$G$15*$G$10</f>
        <v>0</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106.38297872340425</v>
      </c>
      <c r="AU5" s="277"/>
      <c r="AV5" s="277">
        <f t="shared" ref="AV5:AV68" si="2">$D$10*AT5</f>
        <v>10.638297872340425</v>
      </c>
      <c r="AW5" s="277">
        <f>AT5</f>
        <v>106.38297872340425</v>
      </c>
      <c r="AX5" s="413">
        <f t="shared" si="0"/>
        <v>10.638297872340425</v>
      </c>
      <c r="AY5" s="278">
        <f t="shared" ref="AY5:AY68" si="3">IF(ISNUMBER(AS5),LN(AX5+$J$39)-LN($J$39),0)</f>
        <v>3.6531480770634062E-2</v>
      </c>
      <c r="AZ5" s="231">
        <f t="shared" ref="AZ5:AZ68" si="4">IF(ISNUMBER(AS5),AY5/(1+$D$7)^AS5,0)</f>
        <v>3.4791886448222911E-2</v>
      </c>
      <c r="BA5" s="231">
        <f>SUM(AZ5:AZ111)</f>
        <v>0.46854602756088376</v>
      </c>
      <c r="BB5" s="232">
        <f>SUM(AZ5:AZ23)</f>
        <v>0.44149466659186715</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0</v>
      </c>
      <c r="S6" s="616">
        <f>R6*(1-1/(1+D7)^G17)/(1-1/(1+D7))</f>
        <v>0</v>
      </c>
      <c r="T6" s="798">
        <f>S6*M8*M9*M14*(V39/U39)*G11</f>
        <v>0</v>
      </c>
      <c r="U6" s="798"/>
      <c r="V6" s="799">
        <v>0</v>
      </c>
      <c r="W6" s="811"/>
      <c r="X6" s="237"/>
      <c r="Y6" s="245"/>
      <c r="Z6" s="357" t="s">
        <v>42</v>
      </c>
      <c r="AA6" s="358"/>
      <c r="AB6" s="359">
        <f>$G$7*$G$8*$G$9*G$20*$J7</f>
        <v>9.745936615384615E-3</v>
      </c>
      <c r="AC6" s="246"/>
      <c r="AD6" s="628" t="s">
        <v>669</v>
      </c>
      <c r="AE6" s="611">
        <f>M19</f>
        <v>3</v>
      </c>
      <c r="AF6" s="245"/>
      <c r="AG6" s="245"/>
      <c r="AH6" s="245"/>
      <c r="AI6" s="245"/>
      <c r="AJ6" s="245"/>
      <c r="AK6" s="245"/>
      <c r="AL6" s="245"/>
      <c r="AM6" s="245"/>
      <c r="AN6" s="245"/>
      <c r="AO6" s="245"/>
      <c r="AP6" s="245"/>
      <c r="AQ6" s="245"/>
      <c r="AS6" s="231">
        <f t="shared" si="1"/>
        <v>2</v>
      </c>
      <c r="AT6" s="277">
        <f t="shared" ref="AT6:AT69" si="5">IF(ISNUMBER(AS6),AW5,0)</f>
        <v>106.38297872340425</v>
      </c>
      <c r="AU6" s="277"/>
      <c r="AV6" s="277">
        <f t="shared" si="2"/>
        <v>10.638297872340425</v>
      </c>
      <c r="AW6" s="277">
        <f t="shared" ref="AW6:AW69" si="6">AT6</f>
        <v>106.38297872340425</v>
      </c>
      <c r="AX6" s="413">
        <f t="shared" si="0"/>
        <v>10.638297872340425</v>
      </c>
      <c r="AY6" s="278">
        <f t="shared" si="3"/>
        <v>3.6531480770634062E-2</v>
      </c>
      <c r="AZ6" s="231">
        <f t="shared" si="4"/>
        <v>3.3135129950688492E-2</v>
      </c>
      <c r="BA6" s="231"/>
    </row>
    <row r="7" spans="1:54" ht="26.1" customHeight="1" x14ac:dyDescent="0.25">
      <c r="A7" s="245"/>
      <c r="B7" s="801" t="s">
        <v>45</v>
      </c>
      <c r="C7" s="299" t="s">
        <v>0</v>
      </c>
      <c r="D7" s="652">
        <v>0.05</v>
      </c>
      <c r="E7" s="233"/>
      <c r="F7" s="319" t="s">
        <v>662</v>
      </c>
      <c r="G7" s="653">
        <v>0.71153846153846145</v>
      </c>
      <c r="H7" s="235"/>
      <c r="I7" s="319" t="s">
        <v>8</v>
      </c>
      <c r="J7" s="654">
        <v>0.1719</v>
      </c>
      <c r="K7" s="312"/>
      <c r="L7" s="319" t="s">
        <v>175</v>
      </c>
      <c r="M7" s="322"/>
      <c r="N7" s="243"/>
      <c r="O7" s="237"/>
      <c r="P7" s="245"/>
      <c r="Q7" s="246"/>
      <c r="R7" s="237"/>
      <c r="S7" s="237"/>
      <c r="T7" s="237"/>
      <c r="U7" s="316"/>
      <c r="V7" s="237"/>
      <c r="W7" s="243"/>
      <c r="X7" s="237"/>
      <c r="Y7" s="245"/>
      <c r="Z7" s="357" t="s">
        <v>32</v>
      </c>
      <c r="AA7" s="358"/>
      <c r="AB7" s="359">
        <f>$G$7*$G$8*$G$9*G$20*$J8</f>
        <v>6.8828196923076913E-3</v>
      </c>
      <c r="AC7" s="246"/>
      <c r="AD7" s="628" t="s">
        <v>411</v>
      </c>
      <c r="AE7" s="611">
        <f>G10</f>
        <v>4</v>
      </c>
      <c r="AF7" s="245"/>
      <c r="AG7" s="245"/>
      <c r="AH7" s="245"/>
      <c r="AI7" s="245"/>
      <c r="AJ7" s="245"/>
      <c r="AK7" s="245"/>
      <c r="AL7" s="245"/>
      <c r="AM7" s="245"/>
      <c r="AN7" s="245"/>
      <c r="AO7" s="245"/>
      <c r="AP7" s="245"/>
      <c r="AQ7" s="245"/>
      <c r="AS7" s="231">
        <f t="shared" si="1"/>
        <v>3</v>
      </c>
      <c r="AT7" s="277">
        <f>IF(ISNUMBER(AS7),AW6,0)</f>
        <v>106.38297872340425</v>
      </c>
      <c r="AU7" s="277"/>
      <c r="AV7" s="277">
        <f t="shared" si="2"/>
        <v>10.638297872340425</v>
      </c>
      <c r="AW7" s="277">
        <f t="shared" si="6"/>
        <v>106.38297872340425</v>
      </c>
      <c r="AX7" s="413">
        <f t="shared" si="0"/>
        <v>10.638297872340425</v>
      </c>
      <c r="AY7" s="278">
        <f t="shared" si="3"/>
        <v>3.6531480770634062E-2</v>
      </c>
      <c r="AZ7" s="231">
        <f t="shared" si="4"/>
        <v>3.1557266619703324E-2</v>
      </c>
      <c r="BA7" s="231"/>
    </row>
    <row r="8" spans="1:54" ht="24.95" customHeight="1" thickBot="1" x14ac:dyDescent="0.3">
      <c r="A8" s="245"/>
      <c r="B8" s="801"/>
      <c r="C8" s="293"/>
      <c r="D8" s="293"/>
      <c r="E8" s="272"/>
      <c r="F8" s="321" t="s">
        <v>6</v>
      </c>
      <c r="G8" s="655">
        <v>0.6</v>
      </c>
      <c r="H8" s="236"/>
      <c r="I8" s="612" t="s">
        <v>9</v>
      </c>
      <c r="J8" s="656">
        <v>0.12139999999999999</v>
      </c>
      <c r="K8" s="313"/>
      <c r="L8" s="612" t="s">
        <v>169</v>
      </c>
      <c r="M8" s="613"/>
      <c r="N8" s="243"/>
      <c r="O8" s="237"/>
      <c r="P8" s="245"/>
      <c r="Q8" s="802" t="s">
        <v>191</v>
      </c>
      <c r="R8" s="237"/>
      <c r="S8" s="618" t="s">
        <v>306</v>
      </c>
      <c r="T8" s="803" t="s">
        <v>34</v>
      </c>
      <c r="U8" s="803"/>
      <c r="V8" s="803" t="s">
        <v>152</v>
      </c>
      <c r="W8" s="804"/>
      <c r="X8" s="237"/>
      <c r="Y8" s="245"/>
      <c r="Z8" s="357" t="s">
        <v>38</v>
      </c>
      <c r="AA8" s="358"/>
      <c r="AB8" s="359">
        <f>$G$7*$G$8*$G$9*G$20</f>
        <v>5.6695384615384613E-2</v>
      </c>
      <c r="AC8" s="371"/>
      <c r="AD8" s="372" t="s">
        <v>668</v>
      </c>
      <c r="AE8" s="373">
        <f>(AE7*M19)/S5</f>
        <v>4.3510200556039562</v>
      </c>
      <c r="AF8" s="245"/>
      <c r="AG8" s="245"/>
      <c r="AH8" s="245"/>
      <c r="AI8" s="245"/>
      <c r="AJ8" s="245"/>
      <c r="AK8" s="245"/>
      <c r="AL8" s="245"/>
      <c r="AM8" s="245"/>
      <c r="AN8" s="245"/>
      <c r="AO8" s="245"/>
      <c r="AP8" s="245"/>
      <c r="AQ8" s="245"/>
      <c r="AS8" s="231">
        <f t="shared" si="1"/>
        <v>4</v>
      </c>
      <c r="AT8" s="277">
        <f t="shared" si="5"/>
        <v>106.38297872340425</v>
      </c>
      <c r="AU8" s="277"/>
      <c r="AV8" s="277">
        <f t="shared" si="2"/>
        <v>10.638297872340425</v>
      </c>
      <c r="AW8" s="277">
        <f t="shared" si="6"/>
        <v>106.38297872340425</v>
      </c>
      <c r="AX8" s="413">
        <f t="shared" si="0"/>
        <v>10.638297872340425</v>
      </c>
      <c r="AY8" s="278">
        <f t="shared" si="3"/>
        <v>3.6531480770634062E-2</v>
      </c>
      <c r="AZ8" s="231">
        <f t="shared" si="4"/>
        <v>3.005453963781269E-2</v>
      </c>
      <c r="BA8" s="231"/>
    </row>
    <row r="9" spans="1:54" ht="33.75" x14ac:dyDescent="0.25">
      <c r="A9" s="245"/>
      <c r="B9" s="801"/>
      <c r="C9" s="805" t="s">
        <v>14</v>
      </c>
      <c r="D9" s="805"/>
      <c r="E9" s="233"/>
      <c r="F9" s="612" t="s">
        <v>146</v>
      </c>
      <c r="G9" s="656">
        <v>0.8</v>
      </c>
      <c r="H9" s="236"/>
      <c r="I9" s="612" t="s">
        <v>164</v>
      </c>
      <c r="J9" s="376">
        <v>1</v>
      </c>
      <c r="K9" s="313"/>
      <c r="L9" s="612" t="s">
        <v>170</v>
      </c>
      <c r="M9" s="613"/>
      <c r="N9" s="243"/>
      <c r="O9" s="237"/>
      <c r="P9" s="245"/>
      <c r="Q9" s="802"/>
      <c r="R9" s="620" t="s">
        <v>44</v>
      </c>
      <c r="S9" s="619">
        <f>J11*($T$5*AB14*J14*J7+$V$5*J7)</f>
        <v>9.0340339799302172E-3</v>
      </c>
      <c r="T9" s="806">
        <f>S9/(J17/J9)</f>
        <v>1.1292542474912771E-2</v>
      </c>
      <c r="U9" s="806"/>
      <c r="V9" s="807">
        <f>($G$10*$M$19)/T9</f>
        <v>1062.6482058100644</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106.38297872340425</v>
      </c>
      <c r="AU9" s="277"/>
      <c r="AV9" s="277">
        <f t="shared" si="2"/>
        <v>10.638297872340425</v>
      </c>
      <c r="AW9" s="277">
        <f t="shared" si="6"/>
        <v>106.38297872340425</v>
      </c>
      <c r="AX9" s="413">
        <f t="shared" si="0"/>
        <v>10.638297872340425</v>
      </c>
      <c r="AY9" s="278">
        <f t="shared" si="3"/>
        <v>3.6531480770634062E-2</v>
      </c>
      <c r="AZ9" s="231">
        <f t="shared" si="4"/>
        <v>2.8623371083631131E-2</v>
      </c>
      <c r="BA9" s="231"/>
    </row>
    <row r="10" spans="1:54" ht="39.75" customHeight="1" x14ac:dyDescent="0.25">
      <c r="A10" s="245"/>
      <c r="B10" s="801"/>
      <c r="C10" s="290" t="s">
        <v>3</v>
      </c>
      <c r="D10" s="291">
        <v>0.1</v>
      </c>
      <c r="E10" s="283"/>
      <c r="F10" s="612" t="s">
        <v>323</v>
      </c>
      <c r="G10" s="466">
        <v>4</v>
      </c>
      <c r="H10" s="284"/>
      <c r="I10" s="612" t="s">
        <v>165</v>
      </c>
      <c r="J10" s="376">
        <v>1</v>
      </c>
      <c r="K10" s="313"/>
      <c r="L10" s="612" t="s">
        <v>184</v>
      </c>
      <c r="M10" s="613"/>
      <c r="N10" s="243"/>
      <c r="O10" s="237"/>
      <c r="P10" s="245"/>
      <c r="Q10" s="802"/>
      <c r="R10" s="620" t="s">
        <v>496</v>
      </c>
      <c r="S10" s="619">
        <f>J20*($T$5*AB15*J15*J8+$V$5*J8)</f>
        <v>5.9074597912412916E-3</v>
      </c>
      <c r="T10" s="806">
        <f>S10/(J18/J10)</f>
        <v>4.6884601517788024E-3</v>
      </c>
      <c r="U10" s="806"/>
      <c r="V10" s="807">
        <f>($G$10*$M$19)/T10</f>
        <v>2559.4757364946781</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106.38297872340425</v>
      </c>
      <c r="AU10" s="277"/>
      <c r="AV10" s="277">
        <f t="shared" si="2"/>
        <v>10.638297872340425</v>
      </c>
      <c r="AW10" s="277">
        <f t="shared" si="6"/>
        <v>106.38297872340425</v>
      </c>
      <c r="AX10" s="413">
        <f t="shared" si="0"/>
        <v>10.638297872340425</v>
      </c>
      <c r="AY10" s="278">
        <f t="shared" si="3"/>
        <v>3.6531480770634062E-2</v>
      </c>
      <c r="AZ10" s="231">
        <f t="shared" si="4"/>
        <v>2.7260353412982032E-2</v>
      </c>
      <c r="BA10" s="231"/>
      <c r="BB10" s="498"/>
    </row>
    <row r="11" spans="1:54" ht="33" customHeight="1" x14ac:dyDescent="0.25">
      <c r="A11" s="245"/>
      <c r="B11" s="801"/>
      <c r="C11" s="296" t="s">
        <v>5</v>
      </c>
      <c r="D11" s="297">
        <v>0.5</v>
      </c>
      <c r="E11" s="234"/>
      <c r="F11" s="612" t="s">
        <v>301</v>
      </c>
      <c r="G11" s="657">
        <v>1</v>
      </c>
      <c r="H11" s="237"/>
      <c r="I11" s="612" t="s">
        <v>322</v>
      </c>
      <c r="J11" s="376">
        <v>0.81</v>
      </c>
      <c r="K11" s="313"/>
      <c r="L11" s="612" t="s">
        <v>183</v>
      </c>
      <c r="M11" s="613"/>
      <c r="N11" s="243"/>
      <c r="O11" s="245"/>
      <c r="P11" s="245"/>
      <c r="Q11" s="802"/>
      <c r="R11" s="620" t="s">
        <v>38</v>
      </c>
      <c r="S11" s="619" t="s">
        <v>408</v>
      </c>
      <c r="T11" s="806">
        <f>M18*((1/S39)*(1/M20)*T5*AB16+(1/R39)*M19*G10)</f>
        <v>1.2631459258037381E-2</v>
      </c>
      <c r="U11" s="806">
        <f>(1/S39)*(1/M20)*T5+1/R39*(G10*S5)</f>
        <v>1.4407987493653985E-2</v>
      </c>
      <c r="V11" s="807">
        <f>($G$10*$M$19)/T11</f>
        <v>950.00900172040031</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106.38297872340425</v>
      </c>
      <c r="AU11" s="277"/>
      <c r="AV11" s="277">
        <f t="shared" si="2"/>
        <v>10.638297872340425</v>
      </c>
      <c r="AW11" s="277">
        <f t="shared" si="6"/>
        <v>106.38297872340425</v>
      </c>
      <c r="AX11" s="413">
        <f t="shared" si="0"/>
        <v>10.638297872340425</v>
      </c>
      <c r="AY11" s="278">
        <f t="shared" si="3"/>
        <v>3.6531480770634062E-2</v>
      </c>
      <c r="AZ11" s="231">
        <f t="shared" si="4"/>
        <v>2.5962241345697169E-2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T6</f>
        <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106.38297872340425</v>
      </c>
      <c r="AU12" s="277"/>
      <c r="AV12" s="277">
        <f t="shared" si="2"/>
        <v>10.638297872340425</v>
      </c>
      <c r="AW12" s="277">
        <f t="shared" si="6"/>
        <v>106.38297872340425</v>
      </c>
      <c r="AX12" s="413">
        <f t="shared" si="0"/>
        <v>10.638297872340425</v>
      </c>
      <c r="AY12" s="278">
        <f t="shared" si="3"/>
        <v>3.6531480770634062E-2</v>
      </c>
      <c r="AZ12" s="231">
        <f t="shared" si="4"/>
        <v>2.4725944138759212E-2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106.38297872340425</v>
      </c>
      <c r="AU13" s="277"/>
      <c r="AV13" s="277">
        <f t="shared" si="2"/>
        <v>10.638297872340425</v>
      </c>
      <c r="AW13" s="277">
        <f t="shared" si="6"/>
        <v>106.38297872340425</v>
      </c>
      <c r="AX13" s="413">
        <f t="shared" si="0"/>
        <v>10.638297872340425</v>
      </c>
      <c r="AY13" s="278">
        <f t="shared" si="3"/>
        <v>3.6531480770634062E-2</v>
      </c>
      <c r="AZ13" s="231">
        <f t="shared" si="4"/>
        <v>2.3548518227389723E-2</v>
      </c>
      <c r="BA13" s="231"/>
    </row>
    <row r="14" spans="1:54" ht="35.1" customHeight="1" x14ac:dyDescent="0.25">
      <c r="A14" s="245"/>
      <c r="B14" s="892" t="s">
        <v>214</v>
      </c>
      <c r="C14" s="836" t="s">
        <v>1</v>
      </c>
      <c r="D14" s="919">
        <v>20</v>
      </c>
      <c r="E14" s="233"/>
      <c r="F14" s="622" t="s">
        <v>560</v>
      </c>
      <c r="G14" s="528">
        <v>5</v>
      </c>
      <c r="H14" s="237"/>
      <c r="I14" s="614" t="s">
        <v>11</v>
      </c>
      <c r="J14" s="379">
        <v>1</v>
      </c>
      <c r="K14" s="237"/>
      <c r="L14" s="612" t="s">
        <v>178</v>
      </c>
      <c r="M14" s="613"/>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106.38297872340425</v>
      </c>
      <c r="AU14" s="277"/>
      <c r="AV14" s="277">
        <f t="shared" si="2"/>
        <v>10.638297872340425</v>
      </c>
      <c r="AW14" s="277">
        <f t="shared" si="6"/>
        <v>106.38297872340425</v>
      </c>
      <c r="AX14" s="413">
        <f t="shared" si="0"/>
        <v>10.638297872340425</v>
      </c>
      <c r="AY14" s="278">
        <f t="shared" si="3"/>
        <v>3.6531480770634062E-2</v>
      </c>
      <c r="AZ14" s="231">
        <f t="shared" si="4"/>
        <v>2.2427160216561642E-2</v>
      </c>
      <c r="BA14" s="231"/>
    </row>
    <row r="15" spans="1:54" ht="21" customHeight="1" thickBot="1" x14ac:dyDescent="0.3">
      <c r="A15" s="245"/>
      <c r="B15" s="892"/>
      <c r="C15" s="837"/>
      <c r="D15" s="920"/>
      <c r="E15" s="234"/>
      <c r="F15" s="836" t="s">
        <v>2</v>
      </c>
      <c r="G15" s="917">
        <v>0</v>
      </c>
      <c r="H15" s="237"/>
      <c r="I15" s="818" t="s">
        <v>10</v>
      </c>
      <c r="J15" s="820">
        <v>0.75</v>
      </c>
      <c r="K15" s="314"/>
      <c r="L15" s="320" t="s">
        <v>181</v>
      </c>
      <c r="M15" s="334"/>
      <c r="N15" s="243"/>
      <c r="O15" s="237"/>
      <c r="P15" s="245"/>
      <c r="Q15" s="802"/>
      <c r="R15" s="624">
        <f>BA5</f>
        <v>0.46854602756088376</v>
      </c>
      <c r="S15" s="624">
        <f>AZ4</f>
        <v>0.31632022465180309</v>
      </c>
      <c r="T15" s="835">
        <f>R15+S15</f>
        <v>0.7848662522126868</v>
      </c>
      <c r="U15" s="835"/>
      <c r="V15" s="806">
        <f>T15/(Sophie!Q39/Sophie!D19)</f>
        <v>3.0543855071108921E-3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106.38297872340425</v>
      </c>
      <c r="AU15" s="277"/>
      <c r="AV15" s="277">
        <f t="shared" si="2"/>
        <v>10.638297872340425</v>
      </c>
      <c r="AW15" s="277">
        <f t="shared" si="6"/>
        <v>106.38297872340425</v>
      </c>
      <c r="AX15" s="413">
        <f t="shared" si="0"/>
        <v>10.638297872340425</v>
      </c>
      <c r="AY15" s="278">
        <f t="shared" si="3"/>
        <v>3.6531480770634062E-2</v>
      </c>
      <c r="AZ15" s="231">
        <f t="shared" si="4"/>
        <v>2.1359200206249183E-2</v>
      </c>
      <c r="BA15" s="231"/>
    </row>
    <row r="16" spans="1:54" ht="21" customHeight="1" thickBot="1" x14ac:dyDescent="0.3">
      <c r="A16" s="245"/>
      <c r="B16" s="892"/>
      <c r="C16" s="841" t="s">
        <v>507</v>
      </c>
      <c r="D16" s="921">
        <v>0.1</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106.38297872340425</v>
      </c>
      <c r="AU16" s="277"/>
      <c r="AV16" s="277">
        <f t="shared" si="2"/>
        <v>10.638297872340425</v>
      </c>
      <c r="AW16" s="277">
        <f t="shared" si="6"/>
        <v>106.38297872340425</v>
      </c>
      <c r="AX16" s="413">
        <f t="shared" si="0"/>
        <v>10.638297872340425</v>
      </c>
      <c r="AY16" s="278">
        <f t="shared" si="3"/>
        <v>3.6531480770634062E-2</v>
      </c>
      <c r="AZ16" s="231">
        <f t="shared" si="4"/>
        <v>2.0342095434523033E-2</v>
      </c>
      <c r="BA16" s="231"/>
    </row>
    <row r="17" spans="1:54" ht="21" customHeight="1" x14ac:dyDescent="0.25">
      <c r="A17" s="245"/>
      <c r="B17" s="892"/>
      <c r="C17" s="836"/>
      <c r="D17" s="922"/>
      <c r="E17" s="234"/>
      <c r="F17" s="841" t="s">
        <v>216</v>
      </c>
      <c r="G17" s="924">
        <v>20</v>
      </c>
      <c r="H17" s="237"/>
      <c r="I17" s="294" t="s">
        <v>28</v>
      </c>
      <c r="J17" s="381">
        <v>0.8</v>
      </c>
      <c r="K17" s="315"/>
      <c r="L17" s="850" t="s">
        <v>38</v>
      </c>
      <c r="M17" s="850"/>
      <c r="N17" s="243"/>
      <c r="O17" s="237"/>
      <c r="P17" s="245"/>
      <c r="Q17" s="617"/>
      <c r="R17" s="410" t="s">
        <v>414</v>
      </c>
      <c r="S17" s="453">
        <f>$T9/$T$9</f>
        <v>1</v>
      </c>
      <c r="T17" s="851">
        <f>$T9/$T$10</f>
        <v>2.4085823723229001</v>
      </c>
      <c r="U17" s="852"/>
      <c r="V17" s="453">
        <f>$T9/$T$11</f>
        <v>0.89400141695642499</v>
      </c>
      <c r="W17" s="454">
        <f>$T9/$V$15</f>
        <v>3.6971569072151134</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106.38297872340425</v>
      </c>
      <c r="AU17" s="277"/>
      <c r="AV17" s="277">
        <f t="shared" si="2"/>
        <v>10.638297872340425</v>
      </c>
      <c r="AW17" s="277">
        <f t="shared" si="6"/>
        <v>106.38297872340425</v>
      </c>
      <c r="AX17" s="413">
        <f t="shared" si="0"/>
        <v>10.638297872340425</v>
      </c>
      <c r="AY17" s="278">
        <f t="shared" si="3"/>
        <v>3.6531480770634062E-2</v>
      </c>
      <c r="AZ17" s="231">
        <f t="shared" si="4"/>
        <v>1.9373424223355265E-2</v>
      </c>
      <c r="BA17" s="231"/>
    </row>
    <row r="18" spans="1:54" ht="18" customHeight="1" x14ac:dyDescent="0.25">
      <c r="A18" s="245"/>
      <c r="B18" s="892"/>
      <c r="C18" s="837"/>
      <c r="D18" s="923"/>
      <c r="E18" s="234"/>
      <c r="F18" s="836"/>
      <c r="G18" s="925"/>
      <c r="H18" s="237"/>
      <c r="I18" s="853" t="s">
        <v>7</v>
      </c>
      <c r="J18" s="882">
        <v>1.26</v>
      </c>
      <c r="K18" s="315"/>
      <c r="L18" s="612" t="s">
        <v>519</v>
      </c>
      <c r="M18" s="658">
        <v>0.86</v>
      </c>
      <c r="N18" s="243"/>
      <c r="O18" s="237"/>
      <c r="P18" s="245"/>
      <c r="Q18" s="617"/>
      <c r="R18" s="884" t="s">
        <v>415</v>
      </c>
      <c r="S18" s="885">
        <f>$T10/$T$9</f>
        <v>0.41518198069164386</v>
      </c>
      <c r="T18" s="858">
        <f>$T10/$T$10</f>
        <v>1</v>
      </c>
      <c r="U18" s="859"/>
      <c r="V18" s="885">
        <f>$T10/$T$11</f>
        <v>0.37117327903310471</v>
      </c>
      <c r="W18" s="890">
        <f>$T10/$V$15</f>
        <v>1.5349929276653629</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106.38297872340425</v>
      </c>
      <c r="AU18" s="277"/>
      <c r="AV18" s="277">
        <f t="shared" si="2"/>
        <v>10.638297872340425</v>
      </c>
      <c r="AW18" s="277">
        <f t="shared" si="6"/>
        <v>106.38297872340425</v>
      </c>
      <c r="AX18" s="413">
        <f t="shared" si="0"/>
        <v>10.638297872340425</v>
      </c>
      <c r="AY18" s="278">
        <f t="shared" si="3"/>
        <v>3.6531480770634062E-2</v>
      </c>
      <c r="AZ18" s="231">
        <f t="shared" si="4"/>
        <v>1.8450880212719307E-2</v>
      </c>
      <c r="BA18" s="231"/>
    </row>
    <row r="19" spans="1:54" ht="24" customHeight="1" x14ac:dyDescent="0.25">
      <c r="A19" s="245"/>
      <c r="B19" s="892"/>
      <c r="C19" s="836" t="s">
        <v>19</v>
      </c>
      <c r="D19" s="856">
        <v>0.82799999999999996</v>
      </c>
      <c r="E19" s="234"/>
      <c r="F19" s="837"/>
      <c r="G19" s="926"/>
      <c r="H19" s="237"/>
      <c r="I19" s="854"/>
      <c r="J19" s="883"/>
      <c r="K19" s="315"/>
      <c r="L19" s="612" t="s">
        <v>520</v>
      </c>
      <c r="M19" s="506">
        <v>3</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106.38297872340425</v>
      </c>
      <c r="AU19" s="277"/>
      <c r="AV19" s="277">
        <f t="shared" si="2"/>
        <v>10.638297872340425</v>
      </c>
      <c r="AW19" s="277">
        <f t="shared" si="6"/>
        <v>106.38297872340425</v>
      </c>
      <c r="AX19" s="413">
        <f t="shared" si="0"/>
        <v>10.638297872340425</v>
      </c>
      <c r="AY19" s="278">
        <f t="shared" si="3"/>
        <v>3.6531480770634062E-2</v>
      </c>
      <c r="AZ19" s="231">
        <f t="shared" si="4"/>
        <v>1.7572266869256475E-2</v>
      </c>
      <c r="BA19" s="231"/>
    </row>
    <row r="20" spans="1:54" ht="35.1" customHeight="1" x14ac:dyDescent="0.25">
      <c r="A20" s="245"/>
      <c r="B20" s="892"/>
      <c r="C20" s="855"/>
      <c r="D20" s="857"/>
      <c r="E20" s="234"/>
      <c r="F20" s="308" t="s">
        <v>199</v>
      </c>
      <c r="G20" s="659">
        <v>0.16600000000000001</v>
      </c>
      <c r="H20" s="237"/>
      <c r="I20" s="305" t="s">
        <v>321</v>
      </c>
      <c r="J20" s="660">
        <v>1</v>
      </c>
      <c r="K20" s="314"/>
      <c r="L20" s="320" t="s">
        <v>433</v>
      </c>
      <c r="M20" s="658">
        <v>1.5</v>
      </c>
      <c r="N20" s="243"/>
      <c r="O20" s="237"/>
      <c r="P20" s="237"/>
      <c r="Q20" s="617"/>
      <c r="R20" s="410" t="s">
        <v>416</v>
      </c>
      <c r="S20" s="453">
        <f>$T11/$T$9</f>
        <v>1.1185664597763625</v>
      </c>
      <c r="T20" s="851">
        <f>$T11/$T$10</f>
        <v>2.6941594572889787</v>
      </c>
      <c r="U20" s="852"/>
      <c r="V20" s="453">
        <f>$T11/$T$11</f>
        <v>1</v>
      </c>
      <c r="W20" s="454">
        <f>$T11/$V$15</f>
        <v>4.1355157129413342</v>
      </c>
      <c r="X20" s="237"/>
      <c r="Y20" s="245"/>
      <c r="Z20" s="245"/>
      <c r="AA20" s="245"/>
      <c r="AB20" s="245"/>
      <c r="AC20" s="245"/>
      <c r="AD20" s="245"/>
      <c r="AE20" s="245"/>
      <c r="AF20" s="245"/>
      <c r="AG20" s="245"/>
      <c r="AH20" s="245"/>
      <c r="AI20" s="245"/>
      <c r="AJ20" s="245"/>
      <c r="AK20" s="245"/>
      <c r="AL20" s="245"/>
      <c r="AM20" s="245"/>
      <c r="AN20" s="245"/>
      <c r="AO20" s="245"/>
      <c r="AP20" s="245"/>
      <c r="AQ20" s="245"/>
      <c r="AS20" s="231">
        <f t="shared" si="1"/>
        <v>16</v>
      </c>
      <c r="AT20" s="277">
        <f t="shared" si="5"/>
        <v>106.38297872340425</v>
      </c>
      <c r="AU20" s="277"/>
      <c r="AV20" s="277">
        <f t="shared" si="2"/>
        <v>10.638297872340425</v>
      </c>
      <c r="AW20" s="277">
        <f t="shared" si="6"/>
        <v>106.38297872340425</v>
      </c>
      <c r="AX20" s="413">
        <f t="shared" si="0"/>
        <v>10.638297872340425</v>
      </c>
      <c r="AY20" s="278">
        <f t="shared" si="3"/>
        <v>3.6531480770634062E-2</v>
      </c>
      <c r="AZ20" s="231">
        <f t="shared" si="4"/>
        <v>1.6735492256434739E-2</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0.27047810658197108</v>
      </c>
      <c r="T21" s="862">
        <f>$V15/$T$10</f>
        <v>0.65146879961261006</v>
      </c>
      <c r="U21" s="863"/>
      <c r="V21" s="455">
        <f>$V15/$T$11</f>
        <v>0.24180781053997311</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f t="shared" si="1"/>
        <v>17</v>
      </c>
      <c r="AT21" s="277">
        <f t="shared" si="5"/>
        <v>106.38297872340425</v>
      </c>
      <c r="AU21" s="277"/>
      <c r="AV21" s="277">
        <f t="shared" si="2"/>
        <v>10.638297872340425</v>
      </c>
      <c r="AW21" s="277">
        <f t="shared" si="6"/>
        <v>106.38297872340425</v>
      </c>
      <c r="AX21" s="413">
        <f t="shared" si="0"/>
        <v>10.638297872340425</v>
      </c>
      <c r="AY21" s="278">
        <f t="shared" si="3"/>
        <v>3.6531480770634062E-2</v>
      </c>
      <c r="AZ21" s="231">
        <f t="shared" si="4"/>
        <v>1.593856405374737E-2</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f t="shared" si="1"/>
        <v>18</v>
      </c>
      <c r="AT22" s="277">
        <f t="shared" si="5"/>
        <v>106.38297872340425</v>
      </c>
      <c r="AU22" s="277"/>
      <c r="AV22" s="277">
        <f t="shared" si="2"/>
        <v>10.638297872340425</v>
      </c>
      <c r="AW22" s="277">
        <f t="shared" si="6"/>
        <v>106.38297872340425</v>
      </c>
      <c r="AX22" s="413">
        <f t="shared" si="0"/>
        <v>10.638297872340425</v>
      </c>
      <c r="AY22" s="278">
        <f t="shared" si="3"/>
        <v>3.6531480770634062E-2</v>
      </c>
      <c r="AZ22" s="231">
        <f t="shared" si="4"/>
        <v>1.5179584813092733E-2</v>
      </c>
      <c r="BA22" s="231"/>
    </row>
    <row r="23" spans="1:54" ht="10.5" customHeight="1" x14ac:dyDescent="0.25">
      <c r="A23" s="245"/>
      <c r="B23" s="245"/>
      <c r="C23" s="245"/>
      <c r="D23" s="245"/>
      <c r="E23" s="237"/>
      <c r="F23" s="864" t="s">
        <v>34</v>
      </c>
      <c r="G23" s="256" t="s">
        <v>33</v>
      </c>
      <c r="H23" s="257"/>
      <c r="I23" s="450">
        <f>T9</f>
        <v>1.1292542474912771E-2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f t="shared" si="1"/>
        <v>19</v>
      </c>
      <c r="AT23" s="277">
        <f t="shared" si="5"/>
        <v>106.38297872340425</v>
      </c>
      <c r="AU23" s="277"/>
      <c r="AV23" s="277">
        <f t="shared" si="2"/>
        <v>10.638297872340425</v>
      </c>
      <c r="AW23" s="277">
        <f t="shared" si="6"/>
        <v>106.38297872340425</v>
      </c>
      <c r="AX23" s="413">
        <f t="shared" si="0"/>
        <v>10.638297872340425</v>
      </c>
      <c r="AY23" s="278">
        <f t="shared" si="3"/>
        <v>3.6531480770634062E-2</v>
      </c>
      <c r="AZ23" s="231">
        <f t="shared" si="4"/>
        <v>1.4456747441040698E-2</v>
      </c>
      <c r="BA23" s="231"/>
    </row>
    <row r="24" spans="1:54" ht="12" customHeight="1" thickBot="1" x14ac:dyDescent="0.3">
      <c r="A24" s="245"/>
      <c r="B24" s="245"/>
      <c r="C24" s="245"/>
      <c r="D24" s="245"/>
      <c r="E24" s="237"/>
      <c r="F24" s="865"/>
      <c r="G24" s="260" t="s">
        <v>32</v>
      </c>
      <c r="H24" s="261"/>
      <c r="I24" s="451">
        <f>T10</f>
        <v>4.6884601517788024E-3</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f t="shared" si="1"/>
        <v>20</v>
      </c>
      <c r="AT24" s="277">
        <f t="shared" si="5"/>
        <v>106.38297872340425</v>
      </c>
      <c r="AU24" s="277"/>
      <c r="AV24" s="277">
        <f t="shared" si="2"/>
        <v>10.638297872340425</v>
      </c>
      <c r="AW24" s="277">
        <f t="shared" si="6"/>
        <v>106.38297872340425</v>
      </c>
      <c r="AX24" s="413">
        <f t="shared" si="0"/>
        <v>21.276595744680851</v>
      </c>
      <c r="AY24" s="278">
        <f t="shared" si="3"/>
        <v>7.1775313980125155E-2</v>
      </c>
      <c r="AZ24" s="231">
        <f t="shared" si="4"/>
        <v>2.705136096901662E-2</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f>(R39/S39)*T5</f>
        <v>58.241122140732813</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3.0543855071108921E-3</v>
      </c>
      <c r="J26" s="262"/>
      <c r="K26" s="263"/>
      <c r="L26" s="262"/>
      <c r="M26" s="262"/>
      <c r="N26" s="262"/>
      <c r="O26" s="262"/>
      <c r="P26" s="237"/>
      <c r="Q26" s="866"/>
      <c r="R26" s="344" t="s">
        <v>42</v>
      </c>
      <c r="S26" s="457">
        <f>T9*$R$39</f>
        <v>39.07821150185346</v>
      </c>
      <c r="T26" s="458"/>
      <c r="U26" s="459" t="s">
        <v>42</v>
      </c>
      <c r="V26" s="459"/>
      <c r="W26" s="460">
        <f>S26/S$25</f>
        <v>0.67097284642671484</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0.87331689295105575</v>
      </c>
      <c r="J27" s="262"/>
      <c r="K27" s="263"/>
      <c r="L27" s="262"/>
      <c r="M27" s="262"/>
      <c r="N27" s="262"/>
      <c r="O27" s="262"/>
      <c r="P27" s="237"/>
      <c r="Q27" s="867"/>
      <c r="R27" s="344" t="s">
        <v>32</v>
      </c>
      <c r="S27" s="457">
        <f>T10*$R$39</f>
        <v>16.224569253226498</v>
      </c>
      <c r="T27" s="458"/>
      <c r="U27" s="459" t="s">
        <v>32</v>
      </c>
      <c r="V27" s="459"/>
      <c r="W27" s="460">
        <f>S27/S$25</f>
        <v>0.27857583536975367</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T12*$R$39</f>
        <v>#DIV/0!</v>
      </c>
      <c r="T28" s="458"/>
      <c r="U28" s="459" t="s">
        <v>168</v>
      </c>
      <c r="V28" s="459"/>
      <c r="W28" s="460" t="e">
        <f>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3.6971569072151134</v>
      </c>
      <c r="H29" s="268" t="s">
        <v>40</v>
      </c>
      <c r="I29" s="265"/>
      <c r="J29" s="265"/>
      <c r="K29" s="269"/>
      <c r="L29" s="237"/>
      <c r="M29" s="237"/>
      <c r="N29" s="237"/>
      <c r="O29" s="262"/>
      <c r="P29" s="237"/>
      <c r="R29" s="344" t="s">
        <v>14</v>
      </c>
      <c r="S29" s="457">
        <f>V15*$R$39</f>
        <v>10.569800655631127</v>
      </c>
      <c r="T29" s="458"/>
      <c r="U29" s="459" t="s">
        <v>14</v>
      </c>
      <c r="V29" s="459"/>
      <c r="W29" s="460">
        <f>S29/S$25</f>
        <v>0.18148346506941349</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1.5349929276653629</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t="str">
        <f>IFERROR(I25/I$26,"-")</f>
        <v>-</v>
      </c>
      <c r="H31" s="268" t="s">
        <v>40</v>
      </c>
      <c r="I31" s="265"/>
      <c r="J31" s="265"/>
      <c r="K31" s="269"/>
      <c r="L31" s="237"/>
      <c r="M31" s="237"/>
      <c r="N31" s="237"/>
      <c r="O31" s="262"/>
      <c r="P31" s="237"/>
      <c r="Q31" s="341"/>
      <c r="R31" s="343" t="s">
        <v>42</v>
      </c>
      <c r="S31" s="457" t="str">
        <f>IFERROR(IF(S26-S$25&gt;0,S26-S$25,"N/A"),"N/A")</f>
        <v>N/A</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1062.6482058100644</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2559.4757364946781</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950.00900172040031</v>
      </c>
      <c r="J35" s="237"/>
      <c r="K35" s="243"/>
      <c r="L35" s="237"/>
      <c r="M35" s="237"/>
      <c r="N35" s="237"/>
      <c r="O35" s="237"/>
      <c r="P35" s="245"/>
      <c r="Q35" s="285"/>
      <c r="R35" s="898" t="s">
        <v>523</v>
      </c>
      <c r="S35" s="899"/>
      <c r="T35" s="899"/>
      <c r="U35" s="899"/>
      <c r="V35" s="899"/>
      <c r="W35" s="465">
        <f>$G$10*M19</f>
        <v>12</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16">
      <formula1>$C$30:$G$30</formula1>
    </dataValidation>
    <dataValidation type="list" allowBlank="1" showInputMessage="1" sqref="K15">
      <formula1>$C$23:$G$23</formula1>
    </dataValidation>
    <dataValidation type="list" allowBlank="1" showInputMessage="1" sqref="K9">
      <formula1>$C$32:$G$32</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[9]Parameters!#REF!</xm:f>
          </x14:formula1>
          <xm:sqref>M7</xm:sqref>
        </x14:dataValidation>
        <x14:dataValidation type="list" allowBlank="1" showInputMessage="1">
          <x14:formula1>
            <xm:f>[9]Parameters!#REF!</xm:f>
          </x14:formula1>
          <xm:sqref>M10</xm:sqref>
        </x14:dataValidation>
        <x14:dataValidation type="list" allowBlank="1" showInputMessage="1">
          <x14:formula1>
            <xm:f>[9]Parameters!#REF!</xm:f>
          </x14:formula1>
          <xm:sqref>J15:J16</xm:sqref>
        </x14:dataValidation>
        <x14:dataValidation type="list" allowBlank="1" showInputMessage="1">
          <x14:formula1>
            <xm:f>[9]Parameters!#REF!</xm:f>
          </x14:formula1>
          <xm:sqref>G9</xm:sqref>
        </x14:dataValidation>
        <x14:dataValidation type="list" allowBlank="1" showInputMessage="1">
          <x14:formula1>
            <xm:f>[9]Parameters!#REF!</xm:f>
          </x14:formula1>
          <xm:sqref>D11</xm:sqref>
        </x14:dataValidation>
        <x14:dataValidation type="list" allowBlank="1" showInputMessage="1">
          <x14:formula1>
            <xm:f>[9]Parameters!#REF!</xm:f>
          </x14:formula1>
          <xm:sqref>D19:D20</xm:sqref>
        </x14:dataValidation>
        <x14:dataValidation type="list" allowBlank="1" showInputMessage="1">
          <x14:formula1>
            <xm:f>[9]Parameters!#REF!</xm:f>
          </x14:formula1>
          <xm:sqref>G7</xm:sqref>
        </x14:dataValidation>
        <x14:dataValidation type="list" allowBlank="1" showInputMessage="1">
          <x14:formula1>
            <xm:f>[9]Parameters!#REF!</xm:f>
          </x14:formula1>
          <xm:sqref>M19</xm:sqref>
        </x14:dataValidation>
        <x14:dataValidation type="list" allowBlank="1" showInputMessage="1">
          <x14:formula1>
            <xm:f>[9]Parameters!#REF!</xm:f>
          </x14:formula1>
          <xm:sqref>D16:D18</xm:sqref>
        </x14:dataValidation>
        <x14:dataValidation type="list" allowBlank="1" showInputMessage="1">
          <x14:formula1>
            <xm:f>[9]Parameters!#REF!</xm:f>
          </x14:formula1>
          <xm:sqref>J9</xm:sqref>
        </x14:dataValidation>
        <x14:dataValidation type="list" allowBlank="1" showInputMessage="1">
          <x14:formula1>
            <xm:f>[9]Parameters!#REF!</xm:f>
          </x14:formula1>
          <xm:sqref>G14</xm:sqref>
        </x14:dataValidation>
        <x14:dataValidation type="list" allowBlank="1" showInputMessage="1">
          <x14:formula1>
            <xm:f>[9]Parameters!#REF!</xm:f>
          </x14:formula1>
          <xm:sqref>M18</xm:sqref>
        </x14:dataValidation>
        <x14:dataValidation type="list" allowBlank="1" showInputMessage="1">
          <x14:formula1>
            <xm:f>[9]Parameters!#REF!</xm:f>
          </x14:formula1>
          <xm:sqref>M20</xm:sqref>
        </x14:dataValidation>
        <x14:dataValidation type="list" allowBlank="1" showInputMessage="1">
          <x14:formula1>
            <xm:f>[9]Parameters!#REF!</xm:f>
          </x14:formula1>
          <xm:sqref>G11</xm:sqref>
        </x14:dataValidation>
        <x14:dataValidation type="list" allowBlank="1" showInputMessage="1">
          <x14:formula1>
            <xm:f>[9]Parameters!#REF!</xm:f>
          </x14:formula1>
          <xm:sqref>D10</xm:sqref>
        </x14:dataValidation>
        <x14:dataValidation type="list" allowBlank="1" showInputMessage="1">
          <x14:formula1>
            <xm:f>[9]Parameters!#REF!</xm:f>
          </x14:formula1>
          <xm:sqref>D14</xm:sqref>
        </x14:dataValidation>
        <x14:dataValidation type="list" allowBlank="1" showInputMessage="1">
          <x14:formula1>
            <xm:f>[9]Parameters!#REF!</xm:f>
          </x14:formula1>
          <xm:sqref>G15:G16</xm:sqref>
        </x14:dataValidation>
        <x14:dataValidation type="list" allowBlank="1" showInputMessage="1">
          <x14:formula1>
            <xm:f>[9]Parameters!#REF!</xm:f>
          </x14:formula1>
          <xm:sqref>G17:G19</xm:sqref>
        </x14:dataValidation>
        <x14:dataValidation type="list" allowBlank="1" showInputMessage="1">
          <x14:formula1>
            <xm:f>[9]Parameters!#REF!</xm:f>
          </x14:formula1>
          <xm:sqref>J14</xm:sqref>
        </x14:dataValidation>
        <x14:dataValidation type="list" allowBlank="1" showInputMessage="1">
          <x14:formula1>
            <xm:f>[9]Parameters!#REF!</xm:f>
          </x14:formula1>
          <xm:sqref>J11</xm:sqref>
        </x14:dataValidation>
        <x14:dataValidation type="list" allowBlank="1" showInputMessage="1">
          <x14:formula1>
            <xm:f>[9]Parameters!#REF!</xm:f>
          </x14:formula1>
          <xm:sqref>M15</xm:sqref>
        </x14:dataValidation>
        <x14:dataValidation type="list" allowBlank="1" showInputMessage="1">
          <x14:formula1>
            <xm:f>[9]Parameters!#REF!</xm:f>
          </x14:formula1>
          <xm:sqref>M14</xm:sqref>
        </x14:dataValidation>
        <x14:dataValidation type="list" allowBlank="1" showInputMessage="1">
          <x14:formula1>
            <xm:f>[9]Parameters!#REF!</xm:f>
          </x14:formula1>
          <xm:sqref>M12</xm:sqref>
        </x14:dataValidation>
        <x14:dataValidation type="list" allowBlank="1" showInputMessage="1">
          <x14:formula1>
            <xm:f>[9]Parameters!#REF!</xm:f>
          </x14:formula1>
          <xm:sqref>M11</xm:sqref>
        </x14:dataValidation>
        <x14:dataValidation type="list" allowBlank="1" showInputMessage="1">
          <x14:formula1>
            <xm:f>[9]Parameters!#REF!</xm:f>
          </x14:formula1>
          <xm:sqref>M9</xm:sqref>
        </x14:dataValidation>
        <x14:dataValidation type="list" allowBlank="1" showInputMessage="1">
          <x14:formula1>
            <xm:f>[9]Parameters!#REF!</xm:f>
          </x14:formula1>
          <xm:sqref>M8</xm:sqref>
        </x14:dataValidation>
        <x14:dataValidation type="list" allowBlank="1" showInputMessage="1">
          <x14:formula1>
            <xm:f>[9]Parameters!#REF!</xm:f>
          </x14:formula1>
          <xm:sqref>J8</xm:sqref>
        </x14:dataValidation>
        <x14:dataValidation type="list" allowBlank="1" showInputMessage="1">
          <x14:formula1>
            <xm:f>[9]Parameters!#REF!</xm:f>
          </x14:formula1>
          <xm:sqref>K10</xm:sqref>
        </x14:dataValidation>
        <x14:dataValidation type="list" allowBlank="1" showInputMessage="1">
          <x14:formula1>
            <xm:f>[9]Parameters!#REF!</xm:f>
          </x14:formula1>
          <xm:sqref>J7</xm:sqref>
        </x14:dataValidation>
        <x14:dataValidation type="list" allowBlank="1" showInputMessage="1">
          <x14:formula1>
            <xm:f>[9]Parameters!#REF!</xm:f>
          </x14:formula1>
          <xm:sqref>K7</xm:sqref>
        </x14:dataValidation>
        <x14:dataValidation type="list" allowBlank="1" showInputMessage="1">
          <x14:formula1>
            <xm:f>[9]Parameters!#REF!</xm:f>
          </x14:formula1>
          <xm:sqref>J10</xm:sqref>
        </x14:dataValidation>
        <x14:dataValidation type="list" allowBlank="1" showInputMessage="1">
          <x14:formula1>
            <xm:f>[9]Parameters!#REF!</xm:f>
          </x14:formula1>
          <xm:sqref>J17:K17</xm:sqref>
        </x14:dataValidation>
        <x14:dataValidation type="list" allowBlank="1" showInputMessage="1">
          <x14:formula1>
            <xm:f>[9]Parameters!#REF!</xm:f>
          </x14:formula1>
          <xm:sqref>J20:K20</xm:sqref>
        </x14:dataValidation>
        <x14:dataValidation type="list" allowBlank="1" showInputMessage="1">
          <x14:formula1>
            <xm:f>[9]Parameters!#REF!</xm:f>
          </x14:formula1>
          <xm:sqref>D7</xm:sqref>
        </x14:dataValidation>
        <x14:dataValidation type="list" allowBlank="1" showInputMessage="1">
          <x14:formula1>
            <xm:f>[9]Parameters!#REF!</xm:f>
          </x14:formula1>
          <xm:sqref>G20</xm:sqref>
        </x14:dataValidation>
        <x14:dataValidation type="list" allowBlank="1" showInputMessage="1">
          <x14:formula1>
            <xm:f>[9]Parameters!#REF!</xm:f>
          </x14:formula1>
          <xm:sqref>G8</xm:sqref>
        </x14:dataValidation>
        <x14:dataValidation type="list" allowBlank="1" showInputMessage="1">
          <x14:formula1>
            <xm:f>[9]Parameters!#REF!</xm:f>
          </x14:formula1>
          <xm:sqref>G10</xm:sqref>
        </x14:dataValidation>
        <x14:dataValidation type="list" allowBlank="1" showInputMessage="1">
          <x14:formula1>
            <xm:f>[9]Parameters!#REF!</xm:f>
          </x14:formula1>
          <xm:sqref>J18:K19</xm:sqref>
        </x14:dataValidation>
      </x14:dataValidation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B8" workbookViewId="0">
      <selection activeCell="G32" sqref="G32"/>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615" t="s">
        <v>171</v>
      </c>
      <c r="S4" s="615"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159.57446808510639</v>
      </c>
      <c r="AV4" s="277"/>
      <c r="AW4" s="231"/>
      <c r="AX4" s="413">
        <f t="shared" ref="AX4:AX67" si="0">IF(ISNUMBER(AS5),AU4+AV4,AU4+AV4+AW4*$D$16)</f>
        <v>159.57446808510639</v>
      </c>
      <c r="AY4" s="278">
        <f>IF(ISNUMBER(AS4),LN(AX4+$J$39)-LN($J$39),0)</f>
        <v>0.44346991161911653</v>
      </c>
      <c r="AZ4" s="231">
        <f>IF(ISNUMBER(AS4),AY4/(1+$D$7)^AS4,0)</f>
        <v>0.44346991161911653</v>
      </c>
      <c r="BA4" s="231"/>
    </row>
    <row r="5" spans="1:54" ht="15" customHeight="1" thickBot="1" x14ac:dyDescent="0.3">
      <c r="A5" s="245"/>
      <c r="B5" s="791"/>
      <c r="C5" s="791"/>
      <c r="D5" s="791"/>
      <c r="E5" s="332"/>
      <c r="F5" s="794"/>
      <c r="G5" s="795"/>
      <c r="H5" s="255"/>
      <c r="I5" s="255"/>
      <c r="J5" s="245"/>
      <c r="K5" s="245"/>
      <c r="L5" s="245"/>
      <c r="M5" s="245"/>
      <c r="N5" s="245"/>
      <c r="O5" s="245"/>
      <c r="P5" s="245"/>
      <c r="Q5" s="617" t="s">
        <v>189</v>
      </c>
      <c r="R5" s="616">
        <f>D39/(1+D7)^G14</f>
        <v>0.18206978838571686</v>
      </c>
      <c r="S5" s="616">
        <f>R5*(1-1/(1+D7)^G17)/(1-1/(1+D7))</f>
        <v>2.3824415998787725</v>
      </c>
      <c r="T5" s="798">
        <f>S5*G11*G7*G9*G20*G8/G39</f>
        <v>3.7364714475468672E-2</v>
      </c>
      <c r="U5" s="798"/>
      <c r="V5" s="799">
        <f>$G$15*$G$10</f>
        <v>5.0472899999999994E-3</v>
      </c>
      <c r="W5" s="800"/>
      <c r="X5" s="237"/>
      <c r="Y5" s="245"/>
      <c r="Z5" s="354" t="s">
        <v>409</v>
      </c>
      <c r="AA5" s="355"/>
      <c r="AB5" s="356"/>
      <c r="AC5" s="246"/>
      <c r="AD5" s="237"/>
      <c r="AE5" s="243"/>
      <c r="AF5" s="245"/>
      <c r="AG5" s="245"/>
      <c r="AH5" s="245"/>
      <c r="AI5" s="245"/>
      <c r="AJ5" s="245"/>
      <c r="AK5" s="245"/>
      <c r="AL5" s="245"/>
      <c r="AM5" s="245"/>
      <c r="AN5" s="245"/>
      <c r="AO5" s="245"/>
      <c r="AP5" s="245"/>
      <c r="AQ5" s="245"/>
      <c r="AS5" s="231">
        <f t="shared" ref="AS5:AS68" si="1">IF(AS4&lt;$D$14,AS4+1,"")</f>
        <v>1</v>
      </c>
      <c r="AT5" s="277">
        <f>AT4-AU4</f>
        <v>53.191489361702111</v>
      </c>
      <c r="AU5" s="277"/>
      <c r="AV5" s="277">
        <f t="shared" ref="AV5:AV68" si="2">$D$10*AT5</f>
        <v>7.9787234042553159</v>
      </c>
      <c r="AW5" s="277">
        <f>AT5</f>
        <v>53.191489361702111</v>
      </c>
      <c r="AX5" s="413">
        <f t="shared" si="0"/>
        <v>7.9787234042553159</v>
      </c>
      <c r="AY5" s="278">
        <f t="shared" ref="AY5:AY68" si="3">IF(ISNUMBER(AS5),LN(AX5+$J$39)-LN($J$39),0)</f>
        <v>2.7522961112439681E-2</v>
      </c>
      <c r="AZ5" s="231">
        <f t="shared" ref="AZ5:AZ68" si="4">IF(ISNUMBER(AS5),AY5/(1+$D$7)^AS5,0)</f>
        <v>2.6212343916609218E-2</v>
      </c>
      <c r="BA5" s="231">
        <f>SUM(AZ5:AZ111)</f>
        <v>0.29856330143978754</v>
      </c>
      <c r="BB5" s="232">
        <f>SUM(AZ5:AZ23)</f>
        <v>0.29856330143978754</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617" t="s">
        <v>190</v>
      </c>
      <c r="R6" s="616">
        <f>(M15*M11)/(1+D7)^G14</f>
        <v>0</v>
      </c>
      <c r="S6" s="616">
        <f>R6*(1-1/(1+D7)^G17)/(1-1/(1+D7))</f>
        <v>0</v>
      </c>
      <c r="T6" s="798">
        <f>S6*M8*M9*M14*(V39/U39)*G11</f>
        <v>0</v>
      </c>
      <c r="U6" s="798"/>
      <c r="V6" s="799">
        <v>0</v>
      </c>
      <c r="W6" s="811"/>
      <c r="X6" s="237"/>
      <c r="Y6" s="245"/>
      <c r="Z6" s="357" t="s">
        <v>42</v>
      </c>
      <c r="AA6" s="358"/>
      <c r="AB6" s="359">
        <f>$G$7*$G$8*$G$9*G$20*$J7</f>
        <v>6.7386514285714275E-3</v>
      </c>
      <c r="AC6" s="246"/>
      <c r="AD6" s="628" t="s">
        <v>669</v>
      </c>
      <c r="AE6" s="611">
        <f>M19</f>
        <v>36.525000000000006</v>
      </c>
      <c r="AF6" s="245"/>
      <c r="AG6" s="245"/>
      <c r="AH6" s="245"/>
      <c r="AI6" s="245"/>
      <c r="AJ6" s="245"/>
      <c r="AK6" s="245"/>
      <c r="AL6" s="245"/>
      <c r="AM6" s="245"/>
      <c r="AN6" s="245"/>
      <c r="AO6" s="245"/>
      <c r="AP6" s="245"/>
      <c r="AQ6" s="245"/>
      <c r="AS6" s="231">
        <f t="shared" si="1"/>
        <v>2</v>
      </c>
      <c r="AT6" s="277">
        <f t="shared" ref="AT6:AT69" si="5">IF(ISNUMBER(AS6),AW5,0)</f>
        <v>53.191489361702111</v>
      </c>
      <c r="AU6" s="277"/>
      <c r="AV6" s="277">
        <f t="shared" si="2"/>
        <v>7.9787234042553159</v>
      </c>
      <c r="AW6" s="277">
        <f t="shared" ref="AW6:AW69" si="6">AT6</f>
        <v>53.191489361702111</v>
      </c>
      <c r="AX6" s="413">
        <f t="shared" si="0"/>
        <v>7.9787234042553159</v>
      </c>
      <c r="AY6" s="278">
        <f t="shared" si="3"/>
        <v>2.7522961112439681E-2</v>
      </c>
      <c r="AZ6" s="231">
        <f t="shared" si="4"/>
        <v>2.4964137063437353E-2</v>
      </c>
      <c r="BA6" s="231"/>
    </row>
    <row r="7" spans="1:54" ht="26.1" customHeight="1" x14ac:dyDescent="0.25">
      <c r="A7" s="245"/>
      <c r="B7" s="801" t="s">
        <v>45</v>
      </c>
      <c r="C7" s="299" t="s">
        <v>0</v>
      </c>
      <c r="D7" s="139">
        <v>0.05</v>
      </c>
      <c r="E7" s="233"/>
      <c r="F7" s="319" t="s">
        <v>662</v>
      </c>
      <c r="G7" s="335">
        <v>0.54212454212454209</v>
      </c>
      <c r="H7" s="235"/>
      <c r="I7" s="319" t="s">
        <v>8</v>
      </c>
      <c r="J7" s="378">
        <v>0.24959999999999999</v>
      </c>
      <c r="K7" s="312"/>
      <c r="L7" s="319" t="s">
        <v>175</v>
      </c>
      <c r="M7" s="322"/>
      <c r="N7" s="243"/>
      <c r="O7" s="237"/>
      <c r="P7" s="245"/>
      <c r="Q7" s="246"/>
      <c r="R7" s="237"/>
      <c r="S7" s="237"/>
      <c r="T7" s="237"/>
      <c r="U7" s="316"/>
      <c r="V7" s="237"/>
      <c r="W7" s="243"/>
      <c r="X7" s="237"/>
      <c r="Y7" s="245"/>
      <c r="Z7" s="357" t="s">
        <v>32</v>
      </c>
      <c r="AA7" s="358"/>
      <c r="AB7" s="359">
        <f>$G$7*$G$8*$G$9*G$20*$J8</f>
        <v>5.2348738461538459E-3</v>
      </c>
      <c r="AC7" s="246"/>
      <c r="AD7" s="628" t="s">
        <v>411</v>
      </c>
      <c r="AE7" s="611">
        <f>G10</f>
        <v>3</v>
      </c>
      <c r="AF7" s="245"/>
      <c r="AG7" s="245"/>
      <c r="AH7" s="245"/>
      <c r="AI7" s="245"/>
      <c r="AJ7" s="245"/>
      <c r="AK7" s="245"/>
      <c r="AL7" s="245"/>
      <c r="AM7" s="245"/>
      <c r="AN7" s="245"/>
      <c r="AO7" s="245"/>
      <c r="AP7" s="245"/>
      <c r="AQ7" s="245"/>
      <c r="AS7" s="231">
        <f t="shared" si="1"/>
        <v>3</v>
      </c>
      <c r="AT7" s="277">
        <f>IF(ISNUMBER(AS7),AW6,0)</f>
        <v>53.191489361702111</v>
      </c>
      <c r="AU7" s="277"/>
      <c r="AV7" s="277">
        <f t="shared" si="2"/>
        <v>7.9787234042553159</v>
      </c>
      <c r="AW7" s="277">
        <f t="shared" si="6"/>
        <v>53.191489361702111</v>
      </c>
      <c r="AX7" s="413">
        <f t="shared" si="0"/>
        <v>7.9787234042553159</v>
      </c>
      <c r="AY7" s="278">
        <f t="shared" si="3"/>
        <v>2.7522961112439681E-2</v>
      </c>
      <c r="AZ7" s="231">
        <f t="shared" si="4"/>
        <v>2.3775368631845095E-2</v>
      </c>
      <c r="BA7" s="231"/>
    </row>
    <row r="8" spans="1:54" ht="24.95" customHeight="1" thickBot="1" x14ac:dyDescent="0.3">
      <c r="A8" s="245"/>
      <c r="B8" s="801"/>
      <c r="C8" s="293"/>
      <c r="D8" s="293"/>
      <c r="E8" s="272"/>
      <c r="F8" s="321" t="s">
        <v>6</v>
      </c>
      <c r="G8" s="244">
        <v>0.6</v>
      </c>
      <c r="H8" s="236"/>
      <c r="I8" s="612" t="s">
        <v>9</v>
      </c>
      <c r="J8" s="376">
        <v>0.19389999999999999</v>
      </c>
      <c r="K8" s="313"/>
      <c r="L8" s="612" t="s">
        <v>169</v>
      </c>
      <c r="M8" s="613"/>
      <c r="N8" s="243"/>
      <c r="O8" s="237"/>
      <c r="P8" s="245"/>
      <c r="Q8" s="802" t="s">
        <v>191</v>
      </c>
      <c r="R8" s="237"/>
      <c r="S8" s="618" t="s">
        <v>306</v>
      </c>
      <c r="T8" s="803" t="s">
        <v>34</v>
      </c>
      <c r="U8" s="803"/>
      <c r="V8" s="803" t="s">
        <v>152</v>
      </c>
      <c r="W8" s="804"/>
      <c r="X8" s="237"/>
      <c r="Y8" s="245"/>
      <c r="Z8" s="357" t="s">
        <v>38</v>
      </c>
      <c r="AA8" s="358"/>
      <c r="AB8" s="359">
        <f>$G$7*$G$8*$G$9*G$20</f>
        <v>2.6997802197802196E-2</v>
      </c>
      <c r="AC8" s="371"/>
      <c r="AD8" s="372" t="s">
        <v>668</v>
      </c>
      <c r="AE8" s="373">
        <f>(AE7*M19)/S5</f>
        <v>45.992732835749514</v>
      </c>
      <c r="AF8" s="245"/>
      <c r="AG8" s="245"/>
      <c r="AH8" s="245"/>
      <c r="AI8" s="245"/>
      <c r="AJ8" s="245"/>
      <c r="AK8" s="245"/>
      <c r="AL8" s="245"/>
      <c r="AM8" s="245"/>
      <c r="AN8" s="245"/>
      <c r="AO8" s="245"/>
      <c r="AP8" s="245"/>
      <c r="AQ8" s="245"/>
      <c r="AS8" s="231">
        <f t="shared" si="1"/>
        <v>4</v>
      </c>
      <c r="AT8" s="277">
        <f t="shared" si="5"/>
        <v>53.191489361702111</v>
      </c>
      <c r="AU8" s="277"/>
      <c r="AV8" s="277">
        <f t="shared" si="2"/>
        <v>7.9787234042553159</v>
      </c>
      <c r="AW8" s="277">
        <f t="shared" si="6"/>
        <v>53.191489361702111</v>
      </c>
      <c r="AX8" s="413">
        <f t="shared" si="0"/>
        <v>7.9787234042553159</v>
      </c>
      <c r="AY8" s="278">
        <f t="shared" si="3"/>
        <v>2.7522961112439681E-2</v>
      </c>
      <c r="AZ8" s="231">
        <f t="shared" si="4"/>
        <v>2.2643208220804855E-2</v>
      </c>
      <c r="BA8" s="231"/>
    </row>
    <row r="9" spans="1:54" ht="33.75" x14ac:dyDescent="0.25">
      <c r="A9" s="245"/>
      <c r="B9" s="801"/>
      <c r="C9" s="805" t="s">
        <v>14</v>
      </c>
      <c r="D9" s="805"/>
      <c r="E9" s="233"/>
      <c r="F9" s="612" t="s">
        <v>146</v>
      </c>
      <c r="G9" s="613">
        <v>0.5</v>
      </c>
      <c r="H9" s="236"/>
      <c r="I9" s="612" t="s">
        <v>164</v>
      </c>
      <c r="J9" s="376">
        <v>1</v>
      </c>
      <c r="K9" s="313"/>
      <c r="L9" s="612" t="s">
        <v>170</v>
      </c>
      <c r="M9" s="613"/>
      <c r="N9" s="243"/>
      <c r="O9" s="237"/>
      <c r="P9" s="245"/>
      <c r="Q9" s="802"/>
      <c r="R9" s="620" t="s">
        <v>44</v>
      </c>
      <c r="S9" s="619">
        <f>J11*($T$5*AB14*J14*J7+$V$5*J7)</f>
        <v>8.5746894168323533E-3</v>
      </c>
      <c r="T9" s="806">
        <f>S9/(J17/J9)</f>
        <v>1.0718361771040441E-2</v>
      </c>
      <c r="U9" s="806"/>
      <c r="V9" s="807">
        <f>($G$10*$M$19)/T9</f>
        <v>10223.110801881758</v>
      </c>
      <c r="W9" s="808"/>
      <c r="X9" s="237"/>
      <c r="Y9" s="384"/>
      <c r="Z9" s="812" t="s">
        <v>288</v>
      </c>
      <c r="AA9" s="813"/>
      <c r="AB9" s="408"/>
      <c r="AC9" s="245"/>
      <c r="AE9" s="650"/>
      <c r="AF9" s="245"/>
      <c r="AG9" s="245"/>
      <c r="AH9" s="245"/>
      <c r="AI9" s="245"/>
      <c r="AJ9" s="245"/>
      <c r="AK9" s="245"/>
      <c r="AL9" s="245"/>
      <c r="AM9" s="245"/>
      <c r="AN9" s="245"/>
      <c r="AO9" s="245"/>
      <c r="AP9" s="245"/>
      <c r="AQ9" s="245"/>
      <c r="AS9" s="231">
        <f t="shared" si="1"/>
        <v>5</v>
      </c>
      <c r="AT9" s="277">
        <f t="shared" si="5"/>
        <v>53.191489361702111</v>
      </c>
      <c r="AU9" s="277"/>
      <c r="AV9" s="277">
        <f t="shared" si="2"/>
        <v>7.9787234042553159</v>
      </c>
      <c r="AW9" s="277">
        <f t="shared" si="6"/>
        <v>53.191489361702111</v>
      </c>
      <c r="AX9" s="413">
        <f t="shared" si="0"/>
        <v>7.9787234042553159</v>
      </c>
      <c r="AY9" s="278">
        <f t="shared" si="3"/>
        <v>2.7522961112439681E-2</v>
      </c>
      <c r="AZ9" s="231">
        <f t="shared" si="4"/>
        <v>2.1564960210290335E-2</v>
      </c>
      <c r="BA9" s="231"/>
    </row>
    <row r="10" spans="1:54" ht="39.75" customHeight="1" x14ac:dyDescent="0.25">
      <c r="A10" s="245"/>
      <c r="B10" s="801"/>
      <c r="C10" s="290" t="s">
        <v>3</v>
      </c>
      <c r="D10" s="291">
        <v>0.15</v>
      </c>
      <c r="E10" s="283"/>
      <c r="F10" s="612" t="s">
        <v>323</v>
      </c>
      <c r="G10" s="466">
        <v>3</v>
      </c>
      <c r="H10" s="284"/>
      <c r="I10" s="612" t="s">
        <v>165</v>
      </c>
      <c r="J10" s="376">
        <v>1</v>
      </c>
      <c r="K10" s="313"/>
      <c r="L10" s="612" t="s">
        <v>184</v>
      </c>
      <c r="M10" s="613"/>
      <c r="N10" s="243"/>
      <c r="O10" s="237"/>
      <c r="P10" s="245"/>
      <c r="Q10" s="802"/>
      <c r="R10" s="620" t="s">
        <v>496</v>
      </c>
      <c r="S10" s="619">
        <f>J20*($T$5*AB15*J15*J8+$V$5*J8)</f>
        <v>7.4991858541140375E-3</v>
      </c>
      <c r="T10" s="806">
        <f>S10/(J18/J10)</f>
        <v>5.9517348048524106E-3</v>
      </c>
      <c r="U10" s="806"/>
      <c r="V10" s="807">
        <f>($G$10*$M$19)/T10</f>
        <v>18410.598521739281</v>
      </c>
      <c r="W10" s="808"/>
      <c r="X10" s="237"/>
      <c r="Y10" s="245"/>
      <c r="Z10" s="814" t="s">
        <v>450</v>
      </c>
      <c r="AA10" s="815"/>
      <c r="AB10" s="374"/>
      <c r="AC10" s="245"/>
      <c r="AD10" s="384"/>
      <c r="AE10" s="650"/>
      <c r="AF10" s="245"/>
      <c r="AG10" s="245"/>
      <c r="AH10" s="245"/>
      <c r="AI10" s="245"/>
      <c r="AJ10" s="245"/>
      <c r="AK10" s="245"/>
      <c r="AL10" s="245"/>
      <c r="AM10" s="245"/>
      <c r="AN10" s="245"/>
      <c r="AO10" s="245"/>
      <c r="AP10" s="245"/>
      <c r="AQ10" s="245"/>
      <c r="AS10" s="231">
        <f t="shared" si="1"/>
        <v>6</v>
      </c>
      <c r="AT10" s="277">
        <f t="shared" si="5"/>
        <v>53.191489361702111</v>
      </c>
      <c r="AU10" s="277"/>
      <c r="AV10" s="277">
        <f t="shared" si="2"/>
        <v>7.9787234042553159</v>
      </c>
      <c r="AW10" s="277">
        <f t="shared" si="6"/>
        <v>53.191489361702111</v>
      </c>
      <c r="AX10" s="413">
        <f t="shared" si="0"/>
        <v>7.9787234042553159</v>
      </c>
      <c r="AY10" s="278">
        <f t="shared" si="3"/>
        <v>2.7522961112439681E-2</v>
      </c>
      <c r="AZ10" s="231">
        <f t="shared" si="4"/>
        <v>2.0538057343133655E-2</v>
      </c>
      <c r="BA10" s="231"/>
      <c r="BB10" s="498"/>
    </row>
    <row r="11" spans="1:54" ht="33" customHeight="1" x14ac:dyDescent="0.25">
      <c r="A11" s="245"/>
      <c r="B11" s="801"/>
      <c r="C11" s="296" t="s">
        <v>5</v>
      </c>
      <c r="D11" s="297">
        <v>0.25</v>
      </c>
      <c r="E11" s="234"/>
      <c r="F11" s="612" t="s">
        <v>301</v>
      </c>
      <c r="G11" s="466">
        <v>1.4</v>
      </c>
      <c r="H11" s="237"/>
      <c r="I11" s="612" t="s">
        <v>322</v>
      </c>
      <c r="J11" s="376">
        <v>0.81</v>
      </c>
      <c r="K11" s="313"/>
      <c r="L11" s="612" t="s">
        <v>183</v>
      </c>
      <c r="M11" s="613"/>
      <c r="N11" s="243"/>
      <c r="O11" s="245"/>
      <c r="P11" s="245"/>
      <c r="Q11" s="802"/>
      <c r="R11" s="620" t="s">
        <v>38</v>
      </c>
      <c r="S11" s="619" t="s">
        <v>408</v>
      </c>
      <c r="T11" s="806">
        <f>M18*((1/S39)*(1/M20)*T5*AB16+(1/R39)*M19*G10)</f>
        <v>3.5566605848885609E-2</v>
      </c>
      <c r="U11" s="806">
        <f>(1/S39)*(1/M20)*T5+1/R39*(G10*S5)</f>
        <v>1.1757700357341623E-2</v>
      </c>
      <c r="V11" s="807">
        <f>($G$10*$M$19)/T11</f>
        <v>3080.839382469027</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f t="shared" si="1"/>
        <v>7</v>
      </c>
      <c r="AT11" s="277">
        <f t="shared" si="5"/>
        <v>53.191489361702111</v>
      </c>
      <c r="AU11" s="277"/>
      <c r="AV11" s="277">
        <f t="shared" si="2"/>
        <v>7.9787234042553159</v>
      </c>
      <c r="AW11" s="277">
        <f t="shared" si="6"/>
        <v>53.191489361702111</v>
      </c>
      <c r="AX11" s="413">
        <f t="shared" si="0"/>
        <v>7.9787234042553159</v>
      </c>
      <c r="AY11" s="278">
        <f t="shared" si="3"/>
        <v>2.7522961112439681E-2</v>
      </c>
      <c r="AZ11" s="231">
        <f t="shared" si="4"/>
        <v>1.9560054612508239E-2</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T6</f>
        <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f t="shared" si="1"/>
        <v>8</v>
      </c>
      <c r="AT12" s="277">
        <f t="shared" si="5"/>
        <v>53.191489361702111</v>
      </c>
      <c r="AU12" s="277"/>
      <c r="AV12" s="277">
        <f t="shared" si="2"/>
        <v>7.9787234042553159</v>
      </c>
      <c r="AW12" s="277">
        <f t="shared" si="6"/>
        <v>53.191489361702111</v>
      </c>
      <c r="AX12" s="413">
        <f t="shared" si="0"/>
        <v>7.9787234042553159</v>
      </c>
      <c r="AY12" s="278">
        <f t="shared" si="3"/>
        <v>2.7522961112439681E-2</v>
      </c>
      <c r="AZ12" s="231">
        <f t="shared" si="4"/>
        <v>1.8628623440484039E-2</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f t="shared" si="1"/>
        <v>9</v>
      </c>
      <c r="AT13" s="277">
        <f t="shared" si="5"/>
        <v>53.191489361702111</v>
      </c>
      <c r="AU13" s="277"/>
      <c r="AV13" s="277">
        <f t="shared" si="2"/>
        <v>7.9787234042553159</v>
      </c>
      <c r="AW13" s="277">
        <f t="shared" si="6"/>
        <v>53.191489361702111</v>
      </c>
      <c r="AX13" s="413">
        <f t="shared" si="0"/>
        <v>7.9787234042553159</v>
      </c>
      <c r="AY13" s="278">
        <f t="shared" si="3"/>
        <v>2.7522961112439681E-2</v>
      </c>
      <c r="AZ13" s="231">
        <f t="shared" si="4"/>
        <v>1.7741546133794323E-2</v>
      </c>
      <c r="BA13" s="231"/>
    </row>
    <row r="14" spans="1:54" ht="35.1" customHeight="1" x14ac:dyDescent="0.25">
      <c r="A14" s="245"/>
      <c r="B14" s="892" t="s">
        <v>214</v>
      </c>
      <c r="C14" s="836" t="s">
        <v>1</v>
      </c>
      <c r="D14" s="838">
        <v>15</v>
      </c>
      <c r="E14" s="233"/>
      <c r="F14" s="622" t="s">
        <v>560</v>
      </c>
      <c r="G14" s="528">
        <v>8</v>
      </c>
      <c r="H14" s="237"/>
      <c r="I14" s="614" t="s">
        <v>11</v>
      </c>
      <c r="J14" s="379">
        <v>1</v>
      </c>
      <c r="K14" s="237"/>
      <c r="L14" s="612" t="s">
        <v>178</v>
      </c>
      <c r="M14" s="613"/>
      <c r="N14" s="243"/>
      <c r="O14" s="237"/>
      <c r="P14" s="245"/>
      <c r="Q14" s="840" t="s">
        <v>410</v>
      </c>
      <c r="R14" s="615" t="s">
        <v>148</v>
      </c>
      <c r="S14" s="615" t="s">
        <v>35</v>
      </c>
      <c r="T14" s="796" t="s">
        <v>36</v>
      </c>
      <c r="U14" s="796"/>
      <c r="V14" s="796" t="s">
        <v>34</v>
      </c>
      <c r="W14" s="797"/>
      <c r="X14" s="237"/>
      <c r="Y14" s="245"/>
      <c r="Z14" s="357" t="s">
        <v>42</v>
      </c>
      <c r="AA14" s="358"/>
      <c r="AB14" s="362">
        <f>IF($AB$10="Yes",MAX(AB6,$AB$9),AB6)/AB6</f>
        <v>1</v>
      </c>
      <c r="AC14" s="245"/>
      <c r="AD14" s="245"/>
      <c r="AE14" s="245"/>
      <c r="AF14" s="245"/>
      <c r="AG14" s="245"/>
      <c r="AH14" s="245"/>
      <c r="AI14" s="245"/>
      <c r="AJ14" s="245"/>
      <c r="AK14" s="245"/>
      <c r="AL14" s="245"/>
      <c r="AM14" s="245"/>
      <c r="AN14" s="245"/>
      <c r="AO14" s="245"/>
      <c r="AP14" s="245"/>
      <c r="AQ14" s="245"/>
      <c r="AS14" s="231">
        <f t="shared" si="1"/>
        <v>10</v>
      </c>
      <c r="AT14" s="277">
        <f t="shared" si="5"/>
        <v>53.191489361702111</v>
      </c>
      <c r="AU14" s="277"/>
      <c r="AV14" s="277">
        <f t="shared" si="2"/>
        <v>7.9787234042553159</v>
      </c>
      <c r="AW14" s="277">
        <f t="shared" si="6"/>
        <v>53.191489361702111</v>
      </c>
      <c r="AX14" s="413">
        <f t="shared" si="0"/>
        <v>7.9787234042553159</v>
      </c>
      <c r="AY14" s="278">
        <f t="shared" si="3"/>
        <v>2.7522961112439681E-2</v>
      </c>
      <c r="AZ14" s="231">
        <f t="shared" si="4"/>
        <v>1.6896710603613641E-2</v>
      </c>
      <c r="BA14" s="231"/>
    </row>
    <row r="15" spans="1:54" ht="21" customHeight="1" thickBot="1" x14ac:dyDescent="0.3">
      <c r="A15" s="245"/>
      <c r="B15" s="892"/>
      <c r="C15" s="837"/>
      <c r="D15" s="839"/>
      <c r="E15" s="234"/>
      <c r="F15" s="836" t="s">
        <v>2</v>
      </c>
      <c r="G15" s="917">
        <v>1.6824299999999999E-3</v>
      </c>
      <c r="H15" s="237"/>
      <c r="I15" s="818" t="s">
        <v>10</v>
      </c>
      <c r="J15" s="820">
        <v>0.9</v>
      </c>
      <c r="K15" s="314"/>
      <c r="L15" s="320" t="s">
        <v>181</v>
      </c>
      <c r="M15" s="334"/>
      <c r="N15" s="243"/>
      <c r="O15" s="237"/>
      <c r="P15" s="245"/>
      <c r="Q15" s="802"/>
      <c r="R15" s="624">
        <f>BA5</f>
        <v>0.29856330143978754</v>
      </c>
      <c r="S15" s="624">
        <f>AZ4</f>
        <v>0.44346991161911653</v>
      </c>
      <c r="T15" s="835">
        <f>R15+S15</f>
        <v>0.74203321305890402</v>
      </c>
      <c r="U15" s="835"/>
      <c r="V15" s="806">
        <f>T15/(Sarah!Q39/Sarah!D19)</f>
        <v>2.8876964519400309E-3</v>
      </c>
      <c r="W15" s="893"/>
      <c r="X15" s="237"/>
      <c r="Y15" s="384"/>
      <c r="Z15" s="357" t="s">
        <v>32</v>
      </c>
      <c r="AA15" s="358"/>
      <c r="AB15" s="362">
        <f>IF($AB$10="Yes",MAX(AB7,$AB$9),AB7)/AB7</f>
        <v>1</v>
      </c>
      <c r="AC15" s="245"/>
      <c r="AD15" s="245"/>
      <c r="AE15" s="245"/>
      <c r="AF15" s="245"/>
      <c r="AG15" s="245"/>
      <c r="AH15" s="245"/>
      <c r="AI15" s="245"/>
      <c r="AJ15" s="245"/>
      <c r="AK15" s="245"/>
      <c r="AL15" s="245"/>
      <c r="AM15" s="245"/>
      <c r="AN15" s="245"/>
      <c r="AO15" s="245"/>
      <c r="AP15" s="245"/>
      <c r="AQ15" s="245"/>
      <c r="AS15" s="231">
        <f t="shared" si="1"/>
        <v>11</v>
      </c>
      <c r="AT15" s="277">
        <f t="shared" si="5"/>
        <v>53.191489361702111</v>
      </c>
      <c r="AU15" s="277"/>
      <c r="AV15" s="277">
        <f t="shared" si="2"/>
        <v>7.9787234042553159</v>
      </c>
      <c r="AW15" s="277">
        <f t="shared" si="6"/>
        <v>53.191489361702111</v>
      </c>
      <c r="AX15" s="413">
        <f t="shared" si="0"/>
        <v>7.9787234042553159</v>
      </c>
      <c r="AY15" s="278">
        <f t="shared" si="3"/>
        <v>2.7522961112439681E-2</v>
      </c>
      <c r="AZ15" s="231">
        <f t="shared" si="4"/>
        <v>1.6092105336774895E-2</v>
      </c>
      <c r="BA15" s="231"/>
    </row>
    <row r="16" spans="1:54" ht="21" customHeight="1" thickBot="1" x14ac:dyDescent="0.3">
      <c r="A16" s="245"/>
      <c r="B16" s="892"/>
      <c r="C16" s="841" t="s">
        <v>507</v>
      </c>
      <c r="D16" s="842">
        <v>0.15</v>
      </c>
      <c r="E16" s="234"/>
      <c r="F16" s="837"/>
      <c r="G16" s="918"/>
      <c r="H16" s="237"/>
      <c r="I16" s="819"/>
      <c r="J16" s="821"/>
      <c r="K16" s="314"/>
      <c r="N16" s="243"/>
      <c r="O16" s="237"/>
      <c r="P16" s="245"/>
      <c r="Q16" s="623" t="s">
        <v>417</v>
      </c>
      <c r="R16" s="412"/>
      <c r="S16" s="621" t="s">
        <v>33</v>
      </c>
      <c r="T16" s="845" t="s">
        <v>32</v>
      </c>
      <c r="U16" s="846"/>
      <c r="V16" s="621" t="s">
        <v>38</v>
      </c>
      <c r="W16" s="427" t="s">
        <v>48</v>
      </c>
      <c r="X16" s="237"/>
      <c r="Y16" s="384"/>
      <c r="Z16" s="363" t="s">
        <v>38</v>
      </c>
      <c r="AA16" s="364"/>
      <c r="AB16" s="365">
        <f>IF($AB$10="Yes",MAX(AB8,$AB$9),AB8)/AB8</f>
        <v>1</v>
      </c>
      <c r="AC16" s="245"/>
      <c r="AD16" s="245"/>
      <c r="AE16" s="245"/>
      <c r="AF16" s="245"/>
      <c r="AG16" s="245"/>
      <c r="AH16" s="245"/>
      <c r="AI16" s="245"/>
      <c r="AJ16" s="245"/>
      <c r="AK16" s="245"/>
      <c r="AL16" s="245"/>
      <c r="AM16" s="245"/>
      <c r="AN16" s="245"/>
      <c r="AO16" s="245"/>
      <c r="AP16" s="245"/>
      <c r="AQ16" s="245"/>
      <c r="AS16" s="231">
        <f t="shared" si="1"/>
        <v>12</v>
      </c>
      <c r="AT16" s="277">
        <f t="shared" si="5"/>
        <v>53.191489361702111</v>
      </c>
      <c r="AU16" s="277"/>
      <c r="AV16" s="277">
        <f t="shared" si="2"/>
        <v>7.9787234042553159</v>
      </c>
      <c r="AW16" s="277">
        <f t="shared" si="6"/>
        <v>53.191489361702111</v>
      </c>
      <c r="AX16" s="413">
        <f t="shared" si="0"/>
        <v>7.9787234042553159</v>
      </c>
      <c r="AY16" s="278">
        <f t="shared" si="3"/>
        <v>2.7522961112439681E-2</v>
      </c>
      <c r="AZ16" s="231">
        <f t="shared" si="4"/>
        <v>1.5325814606452283E-2</v>
      </c>
      <c r="BA16" s="231"/>
    </row>
    <row r="17" spans="1:54" ht="21" customHeight="1" x14ac:dyDescent="0.25">
      <c r="A17" s="245"/>
      <c r="B17" s="892"/>
      <c r="C17" s="836"/>
      <c r="D17" s="843"/>
      <c r="E17" s="234"/>
      <c r="F17" s="841" t="s">
        <v>216</v>
      </c>
      <c r="G17" s="916">
        <v>20</v>
      </c>
      <c r="H17" s="237"/>
      <c r="I17" s="294" t="s">
        <v>28</v>
      </c>
      <c r="J17" s="381">
        <v>0.8</v>
      </c>
      <c r="K17" s="315"/>
      <c r="L17" s="850" t="s">
        <v>38</v>
      </c>
      <c r="M17" s="850"/>
      <c r="N17" s="243"/>
      <c r="O17" s="237"/>
      <c r="P17" s="245"/>
      <c r="Q17" s="617"/>
      <c r="R17" s="410" t="s">
        <v>414</v>
      </c>
      <c r="S17" s="453">
        <f>$T9/$T$9</f>
        <v>1</v>
      </c>
      <c r="T17" s="851">
        <f>$T9/$T$10</f>
        <v>1.800880268102979</v>
      </c>
      <c r="U17" s="852"/>
      <c r="V17" s="453">
        <f>$T9/$T$11</f>
        <v>0.30136026520439746</v>
      </c>
      <c r="W17" s="454">
        <f>$T9/$V$15</f>
        <v>3.7117342315670201</v>
      </c>
      <c r="X17" s="237"/>
      <c r="Y17" s="384"/>
      <c r="Z17" s="245"/>
      <c r="AA17" s="245"/>
      <c r="AB17" s="245"/>
      <c r="AC17" s="245"/>
      <c r="AD17" s="245"/>
      <c r="AE17" s="245"/>
      <c r="AF17" s="245"/>
      <c r="AG17" s="245"/>
      <c r="AH17" s="245"/>
      <c r="AI17" s="245"/>
      <c r="AJ17" s="245"/>
      <c r="AK17" s="245"/>
      <c r="AL17" s="245"/>
      <c r="AM17" s="245"/>
      <c r="AN17" s="245"/>
      <c r="AO17" s="245"/>
      <c r="AP17" s="245"/>
      <c r="AQ17" s="245"/>
      <c r="AS17" s="231">
        <f t="shared" si="1"/>
        <v>13</v>
      </c>
      <c r="AT17" s="277">
        <f t="shared" si="5"/>
        <v>53.191489361702111</v>
      </c>
      <c r="AU17" s="277"/>
      <c r="AV17" s="277">
        <f t="shared" si="2"/>
        <v>7.9787234042553159</v>
      </c>
      <c r="AW17" s="277">
        <f t="shared" si="6"/>
        <v>53.191489361702111</v>
      </c>
      <c r="AX17" s="413">
        <f t="shared" si="0"/>
        <v>7.9787234042553159</v>
      </c>
      <c r="AY17" s="278">
        <f t="shared" si="3"/>
        <v>2.7522961112439681E-2</v>
      </c>
      <c r="AZ17" s="231">
        <f t="shared" si="4"/>
        <v>1.4596013910906933E-2</v>
      </c>
      <c r="BA17" s="231"/>
    </row>
    <row r="18" spans="1:54" ht="18" customHeight="1" x14ac:dyDescent="0.25">
      <c r="A18" s="245"/>
      <c r="B18" s="892"/>
      <c r="C18" s="837"/>
      <c r="D18" s="844"/>
      <c r="E18" s="234"/>
      <c r="F18" s="836"/>
      <c r="G18" s="848"/>
      <c r="H18" s="237"/>
      <c r="I18" s="853" t="s">
        <v>7</v>
      </c>
      <c r="J18" s="882">
        <v>1.26</v>
      </c>
      <c r="K18" s="315"/>
      <c r="L18" s="612" t="s">
        <v>519</v>
      </c>
      <c r="M18" s="137">
        <v>0.86</v>
      </c>
      <c r="N18" s="243"/>
      <c r="O18" s="237"/>
      <c r="P18" s="245"/>
      <c r="Q18" s="617"/>
      <c r="R18" s="884" t="s">
        <v>415</v>
      </c>
      <c r="S18" s="885">
        <f>$T10/$T$9</f>
        <v>0.55528400067006423</v>
      </c>
      <c r="T18" s="858">
        <f>$T10/$T$10</f>
        <v>1</v>
      </c>
      <c r="U18" s="859"/>
      <c r="V18" s="885">
        <f>$T10/$T$11</f>
        <v>0.16734053370568935</v>
      </c>
      <c r="W18" s="890">
        <f>$T10/$V$15</f>
        <v>2.0610666335285615</v>
      </c>
      <c r="X18" s="237"/>
      <c r="Y18" s="384"/>
      <c r="Z18" s="245"/>
      <c r="AA18" s="245"/>
      <c r="AB18" s="245"/>
      <c r="AC18" s="245"/>
      <c r="AD18" s="245"/>
      <c r="AE18" s="245"/>
      <c r="AF18" s="245"/>
      <c r="AG18" s="245"/>
      <c r="AH18" s="245"/>
      <c r="AI18" s="245"/>
      <c r="AJ18" s="245"/>
      <c r="AK18" s="245"/>
      <c r="AL18" s="245"/>
      <c r="AM18" s="245"/>
      <c r="AN18" s="245"/>
      <c r="AO18" s="245"/>
      <c r="AP18" s="245"/>
      <c r="AQ18" s="245"/>
      <c r="AS18" s="231">
        <f t="shared" si="1"/>
        <v>14</v>
      </c>
      <c r="AT18" s="277">
        <f t="shared" si="5"/>
        <v>53.191489361702111</v>
      </c>
      <c r="AU18" s="277"/>
      <c r="AV18" s="277">
        <f t="shared" si="2"/>
        <v>7.9787234042553159</v>
      </c>
      <c r="AW18" s="277">
        <f t="shared" si="6"/>
        <v>53.191489361702111</v>
      </c>
      <c r="AX18" s="413">
        <f t="shared" si="0"/>
        <v>7.9787234042553159</v>
      </c>
      <c r="AY18" s="278">
        <f t="shared" si="3"/>
        <v>2.7522961112439681E-2</v>
      </c>
      <c r="AZ18" s="231">
        <f t="shared" si="4"/>
        <v>1.3900965629435179E-2</v>
      </c>
      <c r="BA18" s="231"/>
    </row>
    <row r="19" spans="1:54" ht="24" customHeight="1" x14ac:dyDescent="0.25">
      <c r="A19" s="245"/>
      <c r="B19" s="892"/>
      <c r="C19" s="836" t="s">
        <v>19</v>
      </c>
      <c r="D19" s="856">
        <v>0.82799999999999996</v>
      </c>
      <c r="E19" s="234"/>
      <c r="F19" s="837"/>
      <c r="G19" s="849"/>
      <c r="H19" s="237"/>
      <c r="I19" s="854"/>
      <c r="J19" s="883"/>
      <c r="K19" s="315"/>
      <c r="L19" s="612" t="s">
        <v>520</v>
      </c>
      <c r="M19" s="506">
        <v>36.525000000000006</v>
      </c>
      <c r="N19" s="243"/>
      <c r="O19" s="237"/>
      <c r="P19" s="245"/>
      <c r="Q19" s="617"/>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f t="shared" si="1"/>
        <v>15</v>
      </c>
      <c r="AT19" s="277">
        <f t="shared" si="5"/>
        <v>53.191489361702111</v>
      </c>
      <c r="AU19" s="277"/>
      <c r="AV19" s="277">
        <f t="shared" si="2"/>
        <v>7.9787234042553159</v>
      </c>
      <c r="AW19" s="277">
        <f t="shared" si="6"/>
        <v>53.191489361702111</v>
      </c>
      <c r="AX19" s="413">
        <f t="shared" si="0"/>
        <v>15.957446808510632</v>
      </c>
      <c r="AY19" s="278">
        <f t="shared" si="3"/>
        <v>5.4308655312616416E-2</v>
      </c>
      <c r="AZ19" s="231">
        <f t="shared" si="4"/>
        <v>2.61233917796975E-2</v>
      </c>
      <c r="BA19" s="231"/>
    </row>
    <row r="20" spans="1:54" ht="35.1" customHeight="1" x14ac:dyDescent="0.25">
      <c r="A20" s="245"/>
      <c r="B20" s="892"/>
      <c r="C20" s="855"/>
      <c r="D20" s="857"/>
      <c r="E20" s="234"/>
      <c r="F20" s="308" t="s">
        <v>199</v>
      </c>
      <c r="G20" s="306">
        <v>0.16600000000000001</v>
      </c>
      <c r="H20" s="237"/>
      <c r="I20" s="305" t="s">
        <v>321</v>
      </c>
      <c r="J20" s="304">
        <v>1</v>
      </c>
      <c r="K20" s="314"/>
      <c r="L20" s="320" t="s">
        <v>433</v>
      </c>
      <c r="M20" s="137">
        <v>1</v>
      </c>
      <c r="N20" s="243"/>
      <c r="O20" s="237"/>
      <c r="P20" s="237"/>
      <c r="Q20" s="617"/>
      <c r="R20" s="410" t="s">
        <v>416</v>
      </c>
      <c r="S20" s="453">
        <f>$T11/$T$9</f>
        <v>3.3182874966006235</v>
      </c>
      <c r="T20" s="851">
        <f>$T11/$T$10</f>
        <v>5.9758384765208934</v>
      </c>
      <c r="U20" s="852"/>
      <c r="V20" s="453">
        <f>$T11/$T$11</f>
        <v>1</v>
      </c>
      <c r="W20" s="454">
        <f>$T11/$V$15</f>
        <v>12.316601291313365</v>
      </c>
      <c r="X20" s="237"/>
      <c r="Y20" s="245"/>
      <c r="Z20" s="245"/>
      <c r="AA20" s="245"/>
      <c r="AB20" s="245"/>
      <c r="AC20" s="245"/>
      <c r="AD20" s="245"/>
      <c r="AE20" s="245"/>
      <c r="AF20" s="245"/>
      <c r="AG20" s="245"/>
      <c r="AH20" s="245"/>
      <c r="AI20" s="245"/>
      <c r="AJ20" s="245"/>
      <c r="AK20" s="245"/>
      <c r="AL20" s="245"/>
      <c r="AM20" s="245"/>
      <c r="AN20" s="245"/>
      <c r="AO20" s="245"/>
      <c r="AP20" s="245"/>
      <c r="AQ20" s="245"/>
      <c r="AS20" s="231" t="str">
        <f t="shared" si="1"/>
        <v/>
      </c>
      <c r="AT20" s="277">
        <f t="shared" si="5"/>
        <v>0</v>
      </c>
      <c r="AU20" s="277"/>
      <c r="AV20" s="277">
        <f t="shared" si="2"/>
        <v>0</v>
      </c>
      <c r="AW20" s="277">
        <f t="shared" si="6"/>
        <v>0</v>
      </c>
      <c r="AX20" s="413">
        <f t="shared" si="0"/>
        <v>0</v>
      </c>
      <c r="AY20" s="278">
        <f t="shared" si="3"/>
        <v>0</v>
      </c>
      <c r="AZ20" s="231">
        <f t="shared" si="4"/>
        <v>0</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629"/>
      <c r="R21" s="411" t="s">
        <v>418</v>
      </c>
      <c r="S21" s="455">
        <f>$V15/$T$9</f>
        <v>0.26941584111689482</v>
      </c>
      <c r="T21" s="862">
        <f>$V15/$T$10</f>
        <v>0.48518567218178316</v>
      </c>
      <c r="U21" s="863"/>
      <c r="V21" s="455">
        <f>$V15/$T$11</f>
        <v>8.1191229329253239E-2</v>
      </c>
      <c r="W21" s="456">
        <f>$V15/$V$15</f>
        <v>1</v>
      </c>
      <c r="X21" s="237"/>
      <c r="Y21" s="245"/>
      <c r="Z21" s="245"/>
      <c r="AA21" s="245"/>
      <c r="AB21" s="245"/>
      <c r="AC21" s="245"/>
      <c r="AD21" s="245"/>
      <c r="AE21" s="245"/>
      <c r="AF21" s="245"/>
      <c r="AG21" s="245"/>
      <c r="AH21" s="245"/>
      <c r="AI21" s="245"/>
      <c r="AJ21" s="245"/>
      <c r="AK21" s="245"/>
      <c r="AL21" s="245"/>
      <c r="AM21" s="245"/>
      <c r="AN21" s="245"/>
      <c r="AO21" s="245"/>
      <c r="AP21" s="245"/>
      <c r="AQ21" s="245"/>
      <c r="AS21" s="231" t="str">
        <f t="shared" si="1"/>
        <v/>
      </c>
      <c r="AT21" s="277">
        <f t="shared" si="5"/>
        <v>0</v>
      </c>
      <c r="AU21" s="277"/>
      <c r="AV21" s="277">
        <f t="shared" si="2"/>
        <v>0</v>
      </c>
      <c r="AW21" s="277">
        <f t="shared" si="6"/>
        <v>0</v>
      </c>
      <c r="AX21" s="413">
        <f t="shared" si="0"/>
        <v>0</v>
      </c>
      <c r="AY21" s="278">
        <f t="shared" si="3"/>
        <v>0</v>
      </c>
      <c r="AZ21" s="231">
        <f t="shared" si="4"/>
        <v>0</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t="str">
        <f t="shared" si="1"/>
        <v/>
      </c>
      <c r="AT22" s="277">
        <f t="shared" si="5"/>
        <v>0</v>
      </c>
      <c r="AU22" s="277"/>
      <c r="AV22" s="277">
        <f t="shared" si="2"/>
        <v>0</v>
      </c>
      <c r="AW22" s="277">
        <f t="shared" si="6"/>
        <v>0</v>
      </c>
      <c r="AX22" s="413">
        <f t="shared" si="0"/>
        <v>0</v>
      </c>
      <c r="AY22" s="278">
        <f t="shared" si="3"/>
        <v>0</v>
      </c>
      <c r="AZ22" s="231">
        <f t="shared" si="4"/>
        <v>0</v>
      </c>
      <c r="BA22" s="231"/>
    </row>
    <row r="23" spans="1:54" ht="10.5" customHeight="1" x14ac:dyDescent="0.25">
      <c r="A23" s="245"/>
      <c r="B23" s="245"/>
      <c r="C23" s="245"/>
      <c r="D23" s="245"/>
      <c r="E23" s="237"/>
      <c r="F23" s="864" t="s">
        <v>34</v>
      </c>
      <c r="G23" s="256" t="s">
        <v>33</v>
      </c>
      <c r="H23" s="257"/>
      <c r="I23" s="450">
        <f>T9</f>
        <v>1.0718361771040441E-2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t="str">
        <f t="shared" si="1"/>
        <v/>
      </c>
      <c r="AT23" s="277">
        <f t="shared" si="5"/>
        <v>0</v>
      </c>
      <c r="AU23" s="277"/>
      <c r="AV23" s="277">
        <f t="shared" si="2"/>
        <v>0</v>
      </c>
      <c r="AW23" s="277">
        <f t="shared" si="6"/>
        <v>0</v>
      </c>
      <c r="AX23" s="413">
        <f t="shared" si="0"/>
        <v>0</v>
      </c>
      <c r="AY23" s="278">
        <f t="shared" si="3"/>
        <v>0</v>
      </c>
      <c r="AZ23" s="231">
        <f t="shared" si="4"/>
        <v>0</v>
      </c>
      <c r="BA23" s="231"/>
    </row>
    <row r="24" spans="1:54" ht="12" customHeight="1" thickBot="1" x14ac:dyDescent="0.3">
      <c r="A24" s="245"/>
      <c r="B24" s="245"/>
      <c r="C24" s="245"/>
      <c r="D24" s="245"/>
      <c r="E24" s="237"/>
      <c r="F24" s="865"/>
      <c r="G24" s="260" t="s">
        <v>32</v>
      </c>
      <c r="H24" s="261"/>
      <c r="I24" s="451">
        <f>T10</f>
        <v>5.9517348048524106E-3</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t="str">
        <f t="shared" si="1"/>
        <v/>
      </c>
      <c r="AT24" s="277">
        <f t="shared" si="5"/>
        <v>0</v>
      </c>
      <c r="AU24" s="277"/>
      <c r="AV24" s="277">
        <f t="shared" si="2"/>
        <v>0</v>
      </c>
      <c r="AW24" s="277">
        <f t="shared" si="6"/>
        <v>0</v>
      </c>
      <c r="AX24" s="413">
        <f t="shared" si="0"/>
        <v>0</v>
      </c>
      <c r="AY24" s="278">
        <f t="shared" si="3"/>
        <v>0</v>
      </c>
      <c r="AZ24" s="231">
        <f t="shared" si="4"/>
        <v>0</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f>(R39/S39)*T5</f>
        <v>33.540580723886016</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
        <v/>
      </c>
      <c r="AT25" s="277">
        <f t="shared" si="5"/>
        <v>0</v>
      </c>
      <c r="AU25" s="277"/>
      <c r="AV25" s="277">
        <f t="shared" si="2"/>
        <v>0</v>
      </c>
      <c r="AW25" s="277">
        <f t="shared" si="6"/>
        <v>0</v>
      </c>
      <c r="AX25" s="413">
        <f t="shared" si="0"/>
        <v>0</v>
      </c>
      <c r="AY25" s="278">
        <f t="shared" si="3"/>
        <v>0</v>
      </c>
      <c r="AZ25" s="231">
        <f t="shared" si="4"/>
        <v>0</v>
      </c>
      <c r="BA25" s="231"/>
    </row>
    <row r="26" spans="1:54" ht="12.75" customHeight="1" x14ac:dyDescent="0.25">
      <c r="A26" s="245"/>
      <c r="B26" s="879"/>
      <c r="C26" s="880"/>
      <c r="D26" s="880"/>
      <c r="E26" s="880"/>
      <c r="F26" s="865"/>
      <c r="G26" s="260" t="s">
        <v>14</v>
      </c>
      <c r="H26" s="261"/>
      <c r="I26" s="499">
        <f>V15</f>
        <v>2.8876964519400309E-3</v>
      </c>
      <c r="J26" s="262"/>
      <c r="K26" s="263"/>
      <c r="L26" s="262"/>
      <c r="M26" s="262"/>
      <c r="N26" s="262"/>
      <c r="O26" s="262"/>
      <c r="P26" s="237"/>
      <c r="Q26" s="866"/>
      <c r="R26" s="344" t="s">
        <v>42</v>
      </c>
      <c r="S26" s="457">
        <f>T9*$R$39</f>
        <v>37.091240451175224</v>
      </c>
      <c r="T26" s="458"/>
      <c r="U26" s="459" t="s">
        <v>42</v>
      </c>
      <c r="V26" s="459"/>
      <c r="W26" s="460">
        <f>S26/S$25</f>
        <v>1.1058616055732331</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413">
        <f t="shared" si="0"/>
        <v>0</v>
      </c>
      <c r="AY26" s="278">
        <f t="shared" si="3"/>
        <v>0</v>
      </c>
      <c r="AZ26" s="231">
        <f t="shared" si="4"/>
        <v>0</v>
      </c>
      <c r="BA26" s="231"/>
    </row>
    <row r="27" spans="1:54" ht="14.45" customHeight="1" thickBot="1" x14ac:dyDescent="0.3">
      <c r="A27" s="245"/>
      <c r="B27" s="879"/>
      <c r="C27" s="880"/>
      <c r="D27" s="880"/>
      <c r="E27" s="880"/>
      <c r="F27" s="264" t="s">
        <v>46</v>
      </c>
      <c r="G27" s="265"/>
      <c r="H27" s="265"/>
      <c r="I27" s="266">
        <f>V15*J39</f>
        <v>0.82565677689437011</v>
      </c>
      <c r="J27" s="262"/>
      <c r="K27" s="263"/>
      <c r="L27" s="262"/>
      <c r="M27" s="262"/>
      <c r="N27" s="262"/>
      <c r="O27" s="262"/>
      <c r="P27" s="237"/>
      <c r="Q27" s="867"/>
      <c r="R27" s="344" t="s">
        <v>32</v>
      </c>
      <c r="S27" s="457">
        <f>T10*$R$39</f>
        <v>20.596172387543895</v>
      </c>
      <c r="T27" s="458"/>
      <c r="U27" s="459" t="s">
        <v>32</v>
      </c>
      <c r="V27" s="459"/>
      <c r="W27" s="460">
        <f>S27/S$25</f>
        <v>0.61406725653012539</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413">
        <f t="shared" si="0"/>
        <v>0</v>
      </c>
      <c r="AY27" s="278">
        <f t="shared" si="3"/>
        <v>0</v>
      </c>
      <c r="AZ27" s="231">
        <f t="shared" si="4"/>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T12*$R$39</f>
        <v>#DIV/0!</v>
      </c>
      <c r="T28" s="458"/>
      <c r="U28" s="459" t="s">
        <v>168</v>
      </c>
      <c r="V28" s="459"/>
      <c r="W28" s="460" t="e">
        <f>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
        <v/>
      </c>
      <c r="AT28" s="277">
        <f t="shared" si="5"/>
        <v>0</v>
      </c>
      <c r="AU28" s="277"/>
      <c r="AV28" s="277">
        <f t="shared" si="2"/>
        <v>0</v>
      </c>
      <c r="AW28" s="277">
        <f t="shared" si="6"/>
        <v>0</v>
      </c>
      <c r="AX28" s="413">
        <f t="shared" si="0"/>
        <v>0</v>
      </c>
      <c r="AY28" s="278">
        <f t="shared" si="3"/>
        <v>0</v>
      </c>
      <c r="AZ28" s="231">
        <f t="shared" si="4"/>
        <v>0</v>
      </c>
      <c r="BA28" s="231"/>
    </row>
    <row r="29" spans="1:54" ht="12.75" customHeight="1" x14ac:dyDescent="0.25">
      <c r="A29" s="245"/>
      <c r="B29" s="245"/>
      <c r="C29" s="245"/>
      <c r="D29" s="245"/>
      <c r="E29" s="237"/>
      <c r="F29" s="267" t="s">
        <v>283</v>
      </c>
      <c r="G29" s="452">
        <f>I23/I$26</f>
        <v>3.7117342315670201</v>
      </c>
      <c r="H29" s="268" t="s">
        <v>40</v>
      </c>
      <c r="I29" s="265"/>
      <c r="J29" s="265"/>
      <c r="K29" s="269"/>
      <c r="L29" s="237"/>
      <c r="M29" s="237"/>
      <c r="N29" s="237"/>
      <c r="O29" s="262"/>
      <c r="P29" s="237"/>
      <c r="R29" s="344" t="s">
        <v>14</v>
      </c>
      <c r="S29" s="457">
        <f>V15*$R$39</f>
        <v>9.9929677442223657</v>
      </c>
      <c r="T29" s="458"/>
      <c r="U29" s="459" t="s">
        <v>14</v>
      </c>
      <c r="V29" s="459"/>
      <c r="W29" s="460">
        <f>S29/S$25</f>
        <v>0.29793663462439235</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
        <v/>
      </c>
      <c r="AT29" s="277">
        <f t="shared" si="5"/>
        <v>0</v>
      </c>
      <c r="AU29" s="277"/>
      <c r="AV29" s="277">
        <f t="shared" si="2"/>
        <v>0</v>
      </c>
      <c r="AW29" s="277">
        <f t="shared" si="6"/>
        <v>0</v>
      </c>
      <c r="AX29" s="413">
        <f t="shared" si="0"/>
        <v>0</v>
      </c>
      <c r="AY29" s="278">
        <f t="shared" si="3"/>
        <v>0</v>
      </c>
      <c r="AZ29" s="231">
        <f t="shared" si="4"/>
        <v>0</v>
      </c>
      <c r="BA29" s="287"/>
      <c r="BB29" s="245"/>
    </row>
    <row r="30" spans="1:54" s="245" customFormat="1" ht="14.45" customHeight="1" x14ac:dyDescent="0.25">
      <c r="E30" s="237"/>
      <c r="F30" s="267" t="s">
        <v>41</v>
      </c>
      <c r="G30" s="452">
        <f t="shared" ref="G30" si="7">I24/I$26</f>
        <v>2.0610666335285615</v>
      </c>
      <c r="H30" s="268" t="s">
        <v>40</v>
      </c>
      <c r="I30" s="265"/>
      <c r="J30" s="265"/>
      <c r="K30" s="269"/>
      <c r="L30" s="237"/>
      <c r="M30" s="237"/>
      <c r="N30" s="237"/>
      <c r="O30" s="262"/>
      <c r="P30" s="237"/>
      <c r="R30" s="342" t="s">
        <v>522</v>
      </c>
      <c r="S30" s="461"/>
      <c r="T30" s="458"/>
      <c r="U30" s="458"/>
      <c r="V30" s="458"/>
      <c r="W30" s="462" t="s">
        <v>281</v>
      </c>
      <c r="AS30" s="231" t="str">
        <f t="shared" si="1"/>
        <v/>
      </c>
      <c r="AT30" s="277">
        <f t="shared" si="5"/>
        <v>0</v>
      </c>
      <c r="AU30" s="277"/>
      <c r="AV30" s="277">
        <f t="shared" si="2"/>
        <v>0</v>
      </c>
      <c r="AW30" s="277">
        <f t="shared" si="6"/>
        <v>0</v>
      </c>
      <c r="AX30" s="413">
        <f t="shared" si="0"/>
        <v>0</v>
      </c>
      <c r="AY30" s="278">
        <f t="shared" si="3"/>
        <v>0</v>
      </c>
      <c r="AZ30" s="231">
        <f t="shared" si="4"/>
        <v>0</v>
      </c>
      <c r="BA30" s="231"/>
      <c r="BB30" s="232"/>
    </row>
    <row r="31" spans="1:54" ht="13.7" customHeight="1" x14ac:dyDescent="0.25">
      <c r="A31" s="245"/>
      <c r="B31" s="245"/>
      <c r="C31" s="245"/>
      <c r="D31" s="245"/>
      <c r="E31" s="237"/>
      <c r="F31" s="267" t="s">
        <v>185</v>
      </c>
      <c r="G31" s="452" t="str">
        <f>IFERROR(I25/I$26,"-")</f>
        <v>-</v>
      </c>
      <c r="H31" s="268" t="s">
        <v>40</v>
      </c>
      <c r="I31" s="265"/>
      <c r="J31" s="265"/>
      <c r="K31" s="269"/>
      <c r="L31" s="237"/>
      <c r="M31" s="237"/>
      <c r="N31" s="237"/>
      <c r="O31" s="262"/>
      <c r="P31" s="237"/>
      <c r="Q31" s="341"/>
      <c r="R31" s="343" t="s">
        <v>42</v>
      </c>
      <c r="S31" s="457">
        <f>IFERROR(IF(S26-S$25&gt;0,S26-S$25,"N/A"),"N/A")</f>
        <v>3.550659727289208</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
        <v/>
      </c>
      <c r="AT31" s="277">
        <f t="shared" si="5"/>
        <v>0</v>
      </c>
      <c r="AU31" s="277"/>
      <c r="AV31" s="277">
        <f t="shared" si="2"/>
        <v>0</v>
      </c>
      <c r="AW31" s="277">
        <f t="shared" si="6"/>
        <v>0</v>
      </c>
      <c r="AX31" s="413">
        <f t="shared" si="0"/>
        <v>0</v>
      </c>
      <c r="AY31" s="278">
        <f t="shared" si="3"/>
        <v>0</v>
      </c>
      <c r="AZ31" s="231">
        <f t="shared" si="4"/>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
        <v/>
      </c>
      <c r="AT32" s="277">
        <f t="shared" si="5"/>
        <v>0</v>
      </c>
      <c r="AU32" s="277"/>
      <c r="AV32" s="277">
        <f t="shared" si="2"/>
        <v>0</v>
      </c>
      <c r="AW32" s="277">
        <f t="shared" si="6"/>
        <v>0</v>
      </c>
      <c r="AX32" s="413">
        <f t="shared" si="0"/>
        <v>0</v>
      </c>
      <c r="AY32" s="278">
        <f t="shared" si="3"/>
        <v>0</v>
      </c>
      <c r="AZ32" s="231">
        <f t="shared" si="4"/>
        <v>0</v>
      </c>
      <c r="BA32" s="231"/>
    </row>
    <row r="33" spans="1:53" ht="13.5" customHeight="1" x14ac:dyDescent="0.25">
      <c r="A33" s="245"/>
      <c r="B33" s="245"/>
      <c r="C33" s="245"/>
      <c r="D33" s="245"/>
      <c r="E33" s="237"/>
      <c r="F33" s="865" t="s">
        <v>152</v>
      </c>
      <c r="G33" s="260" t="s">
        <v>42</v>
      </c>
      <c r="H33" s="261"/>
      <c r="I33" s="428">
        <f>V9</f>
        <v>10223.110801881758</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
        <v/>
      </c>
      <c r="AT33" s="277">
        <f t="shared" si="5"/>
        <v>0</v>
      </c>
      <c r="AU33" s="277"/>
      <c r="AV33" s="277">
        <f t="shared" si="2"/>
        <v>0</v>
      </c>
      <c r="AW33" s="277">
        <f t="shared" si="6"/>
        <v>0</v>
      </c>
      <c r="AX33" s="413">
        <f t="shared" si="0"/>
        <v>0</v>
      </c>
      <c r="AY33" s="278">
        <f t="shared" si="3"/>
        <v>0</v>
      </c>
      <c r="AZ33" s="231">
        <f t="shared" si="4"/>
        <v>0</v>
      </c>
      <c r="BA33" s="231"/>
    </row>
    <row r="34" spans="1:53" ht="13.5" customHeight="1" x14ac:dyDescent="0.25">
      <c r="A34" s="245"/>
      <c r="B34" s="245"/>
      <c r="C34" s="245"/>
      <c r="D34" s="245"/>
      <c r="E34" s="237"/>
      <c r="F34" s="865"/>
      <c r="G34" s="260" t="s">
        <v>32</v>
      </c>
      <c r="H34" s="261"/>
      <c r="I34" s="428">
        <f>V10</f>
        <v>18410.598521739281</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
        <v/>
      </c>
      <c r="AT34" s="277">
        <f t="shared" si="5"/>
        <v>0</v>
      </c>
      <c r="AU34" s="277"/>
      <c r="AV34" s="277">
        <f t="shared" si="2"/>
        <v>0</v>
      </c>
      <c r="AW34" s="277">
        <f t="shared" si="6"/>
        <v>0</v>
      </c>
      <c r="AX34" s="413">
        <f t="shared" si="0"/>
        <v>0</v>
      </c>
      <c r="AY34" s="278">
        <f t="shared" si="3"/>
        <v>0</v>
      </c>
      <c r="AZ34" s="231">
        <f t="shared" si="4"/>
        <v>0</v>
      </c>
      <c r="BA34" s="231"/>
    </row>
    <row r="35" spans="1:53" ht="13.7" customHeight="1" thickBot="1" x14ac:dyDescent="0.3">
      <c r="A35" s="245"/>
      <c r="B35" s="245"/>
      <c r="C35" s="245"/>
      <c r="D35" s="245"/>
      <c r="E35" s="245"/>
      <c r="F35" s="865"/>
      <c r="G35" s="260" t="s">
        <v>38</v>
      </c>
      <c r="H35" s="261"/>
      <c r="I35" s="428">
        <f>V11</f>
        <v>3080.839382469027</v>
      </c>
      <c r="J35" s="237"/>
      <c r="K35" s="243"/>
      <c r="L35" s="237"/>
      <c r="M35" s="237"/>
      <c r="N35" s="237"/>
      <c r="O35" s="237"/>
      <c r="P35" s="245"/>
      <c r="Q35" s="285"/>
      <c r="R35" s="898" t="s">
        <v>523</v>
      </c>
      <c r="S35" s="899"/>
      <c r="T35" s="899"/>
      <c r="U35" s="899"/>
      <c r="V35" s="899"/>
      <c r="W35" s="465">
        <f>$G$10*M19</f>
        <v>109.57500000000002</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
        <v/>
      </c>
      <c r="AT35" s="277">
        <f t="shared" si="5"/>
        <v>0</v>
      </c>
      <c r="AU35" s="277"/>
      <c r="AV35" s="277">
        <f t="shared" si="2"/>
        <v>0</v>
      </c>
      <c r="AW35" s="277">
        <f t="shared" si="6"/>
        <v>0</v>
      </c>
      <c r="AX35" s="413">
        <f t="shared" si="0"/>
        <v>0</v>
      </c>
      <c r="AY35" s="278">
        <f t="shared" si="3"/>
        <v>0</v>
      </c>
      <c r="AZ35" s="231">
        <f t="shared" si="4"/>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
        <v/>
      </c>
      <c r="AT36" s="324">
        <f t="shared" si="5"/>
        <v>0</v>
      </c>
      <c r="AU36" s="324"/>
      <c r="AV36" s="324">
        <f t="shared" si="2"/>
        <v>0</v>
      </c>
      <c r="AW36" s="324">
        <f t="shared" si="6"/>
        <v>0</v>
      </c>
      <c r="AX36" s="413">
        <f t="shared" si="0"/>
        <v>0</v>
      </c>
      <c r="AY36" s="278">
        <f t="shared" si="3"/>
        <v>0</v>
      </c>
      <c r="AZ36" s="287">
        <f t="shared" si="4"/>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si="1"/>
        <v/>
      </c>
      <c r="AT37" s="324">
        <f t="shared" si="5"/>
        <v>0</v>
      </c>
      <c r="AU37" s="324"/>
      <c r="AV37" s="324">
        <f t="shared" si="2"/>
        <v>0</v>
      </c>
      <c r="AW37" s="324">
        <f t="shared" si="6"/>
        <v>0</v>
      </c>
      <c r="AX37" s="413">
        <f t="shared" si="0"/>
        <v>0</v>
      </c>
      <c r="AY37" s="278">
        <f t="shared" si="3"/>
        <v>0</v>
      </c>
      <c r="AZ37" s="287">
        <f t="shared" si="4"/>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630" t="s">
        <v>18</v>
      </c>
      <c r="R38" s="280" t="s">
        <v>147</v>
      </c>
      <c r="S38" s="626" t="s">
        <v>555</v>
      </c>
      <c r="T38" s="627"/>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1"/>
        <v/>
      </c>
      <c r="AT38" s="324">
        <f t="shared" si="5"/>
        <v>0</v>
      </c>
      <c r="AU38" s="324"/>
      <c r="AV38" s="324">
        <f t="shared" si="2"/>
        <v>0</v>
      </c>
      <c r="AW38" s="324">
        <f t="shared" si="6"/>
        <v>0</v>
      </c>
      <c r="AX38" s="413">
        <f t="shared" si="0"/>
        <v>0</v>
      </c>
      <c r="AY38" s="278">
        <f t="shared" si="3"/>
        <v>0</v>
      </c>
      <c r="AZ38" s="287">
        <f t="shared" si="4"/>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25"/>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1"/>
        <v/>
      </c>
      <c r="AT39" s="324">
        <f t="shared" si="5"/>
        <v>0</v>
      </c>
      <c r="AU39" s="324"/>
      <c r="AV39" s="324">
        <f t="shared" si="2"/>
        <v>0</v>
      </c>
      <c r="AW39" s="324">
        <f t="shared" si="6"/>
        <v>0</v>
      </c>
      <c r="AX39" s="413">
        <f t="shared" si="0"/>
        <v>0</v>
      </c>
      <c r="AY39" s="278">
        <f t="shared" si="3"/>
        <v>0</v>
      </c>
      <c r="AZ39" s="287">
        <f t="shared" si="4"/>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1"/>
        <v/>
      </c>
      <c r="AT40" s="324">
        <f t="shared" si="5"/>
        <v>0</v>
      </c>
      <c r="AU40" s="324"/>
      <c r="AV40" s="324">
        <f t="shared" si="2"/>
        <v>0</v>
      </c>
      <c r="AW40" s="324">
        <f t="shared" si="6"/>
        <v>0</v>
      </c>
      <c r="AX40" s="413">
        <f t="shared" si="0"/>
        <v>0</v>
      </c>
      <c r="AY40" s="278">
        <f t="shared" si="3"/>
        <v>0</v>
      </c>
      <c r="AZ40" s="287">
        <f t="shared" si="4"/>
        <v>0</v>
      </c>
      <c r="BA40" s="231"/>
    </row>
    <row r="41" spans="1:53" s="245" customFormat="1" ht="15" x14ac:dyDescent="0.25">
      <c r="J41" s="307"/>
      <c r="K41" s="307"/>
      <c r="L41" s="307"/>
      <c r="M41" s="307"/>
      <c r="Z41" s="237"/>
      <c r="AS41" s="287" t="str">
        <f t="shared" si="1"/>
        <v/>
      </c>
      <c r="AT41" s="324">
        <f t="shared" si="5"/>
        <v>0</v>
      </c>
      <c r="AU41" s="324"/>
      <c r="AV41" s="324">
        <f t="shared" si="2"/>
        <v>0</v>
      </c>
      <c r="AW41" s="324">
        <f t="shared" si="6"/>
        <v>0</v>
      </c>
      <c r="AX41" s="413">
        <f t="shared" si="0"/>
        <v>0</v>
      </c>
      <c r="AY41" s="278">
        <f t="shared" si="3"/>
        <v>0</v>
      </c>
      <c r="AZ41" s="287">
        <f t="shared" si="4"/>
        <v>0</v>
      </c>
      <c r="BA41" s="287"/>
    </row>
    <row r="42" spans="1:53" s="245" customFormat="1" ht="15" x14ac:dyDescent="0.25">
      <c r="R42" s="307"/>
      <c r="AS42" s="287" t="str">
        <f t="shared" si="1"/>
        <v/>
      </c>
      <c r="AT42" s="324">
        <f t="shared" si="5"/>
        <v>0</v>
      </c>
      <c r="AU42" s="324"/>
      <c r="AV42" s="324">
        <f t="shared" si="2"/>
        <v>0</v>
      </c>
      <c r="AW42" s="324">
        <f t="shared" si="6"/>
        <v>0</v>
      </c>
      <c r="AX42" s="413">
        <f t="shared" si="0"/>
        <v>0</v>
      </c>
      <c r="AY42" s="278">
        <f t="shared" si="3"/>
        <v>0</v>
      </c>
      <c r="AZ42" s="287">
        <f t="shared" si="4"/>
        <v>0</v>
      </c>
      <c r="BA42" s="287"/>
    </row>
    <row r="43" spans="1:53" s="245" customFormat="1" ht="15" x14ac:dyDescent="0.25">
      <c r="R43" s="307"/>
      <c r="AS43" s="287" t="str">
        <f t="shared" si="1"/>
        <v/>
      </c>
      <c r="AT43" s="324">
        <f t="shared" si="5"/>
        <v>0</v>
      </c>
      <c r="AU43" s="324"/>
      <c r="AV43" s="324">
        <f t="shared" si="2"/>
        <v>0</v>
      </c>
      <c r="AW43" s="324">
        <f t="shared" si="6"/>
        <v>0</v>
      </c>
      <c r="AX43" s="413">
        <f t="shared" si="0"/>
        <v>0</v>
      </c>
      <c r="AY43" s="278">
        <f t="shared" si="3"/>
        <v>0</v>
      </c>
      <c r="AZ43" s="287">
        <f t="shared" si="4"/>
        <v>0</v>
      </c>
      <c r="BA43" s="287"/>
    </row>
    <row r="44" spans="1:53" s="245" customFormat="1" ht="15" x14ac:dyDescent="0.25">
      <c r="R44" s="307"/>
      <c r="S44" s="407"/>
      <c r="AS44" s="287" t="str">
        <f t="shared" si="1"/>
        <v/>
      </c>
      <c r="AT44" s="324">
        <f t="shared" si="5"/>
        <v>0</v>
      </c>
      <c r="AU44" s="324"/>
      <c r="AV44" s="324">
        <f t="shared" si="2"/>
        <v>0</v>
      </c>
      <c r="AW44" s="324">
        <f t="shared" si="6"/>
        <v>0</v>
      </c>
      <c r="AX44" s="413">
        <f t="shared" si="0"/>
        <v>0</v>
      </c>
      <c r="AY44" s="278">
        <f t="shared" si="3"/>
        <v>0</v>
      </c>
      <c r="AZ44" s="287">
        <f t="shared" si="4"/>
        <v>0</v>
      </c>
      <c r="BA44" s="287"/>
    </row>
    <row r="45" spans="1:53" s="245" customFormat="1" ht="15" x14ac:dyDescent="0.25">
      <c r="R45" s="409"/>
      <c r="S45" s="384"/>
      <c r="AS45" s="287" t="str">
        <f t="shared" si="1"/>
        <v/>
      </c>
      <c r="AT45" s="324">
        <f t="shared" si="5"/>
        <v>0</v>
      </c>
      <c r="AU45" s="324"/>
      <c r="AV45" s="324">
        <f t="shared" si="2"/>
        <v>0</v>
      </c>
      <c r="AW45" s="324">
        <f t="shared" si="6"/>
        <v>0</v>
      </c>
      <c r="AX45" s="413">
        <f t="shared" si="0"/>
        <v>0</v>
      </c>
      <c r="AY45" s="278">
        <f t="shared" si="3"/>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413">
        <f t="shared" si="0"/>
        <v>0</v>
      </c>
      <c r="AY46" s="278">
        <f t="shared" si="3"/>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413">
        <f t="shared" si="0"/>
        <v>0</v>
      </c>
      <c r="AY47" s="278">
        <f t="shared" si="3"/>
        <v>0</v>
      </c>
      <c r="AZ47" s="287">
        <f t="shared" si="4"/>
        <v>0</v>
      </c>
      <c r="BA47" s="287"/>
    </row>
    <row r="48" spans="1:53" s="245" customFormat="1" ht="15" x14ac:dyDescent="0.25">
      <c r="S48" s="384"/>
      <c r="AS48" s="287" t="str">
        <f t="shared" si="1"/>
        <v/>
      </c>
      <c r="AT48" s="324">
        <f t="shared" si="5"/>
        <v>0</v>
      </c>
      <c r="AU48" s="324"/>
      <c r="AV48" s="324">
        <f t="shared" si="2"/>
        <v>0</v>
      </c>
      <c r="AW48" s="324">
        <f t="shared" si="6"/>
        <v>0</v>
      </c>
      <c r="AX48" s="413">
        <f t="shared" si="0"/>
        <v>0</v>
      </c>
      <c r="AY48" s="278">
        <f t="shared" si="3"/>
        <v>0</v>
      </c>
      <c r="AZ48" s="287">
        <f t="shared" si="4"/>
        <v>0</v>
      </c>
      <c r="BA48" s="287"/>
    </row>
    <row r="49" spans="19:53" s="245" customFormat="1" ht="15" x14ac:dyDescent="0.25">
      <c r="S49" s="384"/>
      <c r="AS49" s="287" t="str">
        <f t="shared" si="1"/>
        <v/>
      </c>
      <c r="AT49" s="324">
        <f t="shared" si="5"/>
        <v>0</v>
      </c>
      <c r="AU49" s="324"/>
      <c r="AV49" s="324">
        <f t="shared" si="2"/>
        <v>0</v>
      </c>
      <c r="AW49" s="324">
        <f t="shared" si="6"/>
        <v>0</v>
      </c>
      <c r="AX49" s="413">
        <f t="shared" si="0"/>
        <v>0</v>
      </c>
      <c r="AY49" s="278">
        <f t="shared" si="3"/>
        <v>0</v>
      </c>
      <c r="AZ49" s="287">
        <f t="shared" si="4"/>
        <v>0</v>
      </c>
      <c r="BA49" s="287"/>
    </row>
    <row r="50" spans="19:53" s="245" customFormat="1" ht="15" x14ac:dyDescent="0.25">
      <c r="AS50" s="287" t="str">
        <f t="shared" si="1"/>
        <v/>
      </c>
      <c r="AT50" s="324">
        <f t="shared" si="5"/>
        <v>0</v>
      </c>
      <c r="AU50" s="324"/>
      <c r="AV50" s="324">
        <f t="shared" si="2"/>
        <v>0</v>
      </c>
      <c r="AW50" s="324">
        <f t="shared" si="6"/>
        <v>0</v>
      </c>
      <c r="AX50" s="413">
        <f t="shared" si="0"/>
        <v>0</v>
      </c>
      <c r="AY50" s="278">
        <f t="shared" si="3"/>
        <v>0</v>
      </c>
      <c r="AZ50" s="287">
        <f t="shared" si="4"/>
        <v>0</v>
      </c>
      <c r="BA50" s="287"/>
    </row>
    <row r="51" spans="19:53" s="245" customFormat="1" ht="15" x14ac:dyDescent="0.25">
      <c r="AS51" s="287" t="str">
        <f t="shared" si="1"/>
        <v/>
      </c>
      <c r="AT51" s="324">
        <f t="shared" si="5"/>
        <v>0</v>
      </c>
      <c r="AU51" s="324"/>
      <c r="AV51" s="324">
        <f t="shared" si="2"/>
        <v>0</v>
      </c>
      <c r="AW51" s="324">
        <f t="shared" si="6"/>
        <v>0</v>
      </c>
      <c r="AX51" s="413">
        <f t="shared" si="0"/>
        <v>0</v>
      </c>
      <c r="AY51" s="278">
        <f t="shared" si="3"/>
        <v>0</v>
      </c>
      <c r="AZ51" s="287">
        <f t="shared" si="4"/>
        <v>0</v>
      </c>
      <c r="BA51" s="287"/>
    </row>
    <row r="52" spans="19:53" s="245" customFormat="1" ht="15" x14ac:dyDescent="0.25">
      <c r="AS52" s="287" t="str">
        <f t="shared" si="1"/>
        <v/>
      </c>
      <c r="AT52" s="324">
        <f t="shared" si="5"/>
        <v>0</v>
      </c>
      <c r="AU52" s="324"/>
      <c r="AV52" s="324">
        <f t="shared" si="2"/>
        <v>0</v>
      </c>
      <c r="AW52" s="324">
        <f t="shared" si="6"/>
        <v>0</v>
      </c>
      <c r="AX52" s="413">
        <f t="shared" si="0"/>
        <v>0</v>
      </c>
      <c r="AY52" s="278">
        <f t="shared" si="3"/>
        <v>0</v>
      </c>
      <c r="AZ52" s="287">
        <f t="shared" si="4"/>
        <v>0</v>
      </c>
      <c r="BA52" s="287"/>
    </row>
    <row r="53" spans="19:53" s="245" customFormat="1" ht="15" x14ac:dyDescent="0.25">
      <c r="AS53" s="287" t="str">
        <f t="shared" si="1"/>
        <v/>
      </c>
      <c r="AT53" s="324">
        <f t="shared" si="5"/>
        <v>0</v>
      </c>
      <c r="AU53" s="324"/>
      <c r="AV53" s="324">
        <f t="shared" si="2"/>
        <v>0</v>
      </c>
      <c r="AW53" s="324">
        <f t="shared" si="6"/>
        <v>0</v>
      </c>
      <c r="AX53" s="413">
        <f t="shared" si="0"/>
        <v>0</v>
      </c>
      <c r="AY53" s="278">
        <f t="shared" si="3"/>
        <v>0</v>
      </c>
      <c r="AZ53" s="287">
        <f t="shared" si="4"/>
        <v>0</v>
      </c>
      <c r="BA53" s="287"/>
    </row>
    <row r="54" spans="19:53" s="245" customFormat="1" ht="15" x14ac:dyDescent="0.25">
      <c r="AS54" s="287" t="str">
        <f t="shared" si="1"/>
        <v/>
      </c>
      <c r="AT54" s="324">
        <f t="shared" si="5"/>
        <v>0</v>
      </c>
      <c r="AU54" s="324"/>
      <c r="AV54" s="324">
        <f t="shared" si="2"/>
        <v>0</v>
      </c>
      <c r="AW54" s="324">
        <f t="shared" si="6"/>
        <v>0</v>
      </c>
      <c r="AX54" s="413">
        <f t="shared" si="0"/>
        <v>0</v>
      </c>
      <c r="AY54" s="278">
        <f t="shared" si="3"/>
        <v>0</v>
      </c>
      <c r="AZ54" s="287">
        <f t="shared" si="4"/>
        <v>0</v>
      </c>
      <c r="BA54" s="287"/>
    </row>
    <row r="55" spans="19:53" s="245" customFormat="1" ht="15" x14ac:dyDescent="0.25">
      <c r="AS55" s="287" t="str">
        <f t="shared" si="1"/>
        <v/>
      </c>
      <c r="AT55" s="324">
        <f t="shared" si="5"/>
        <v>0</v>
      </c>
      <c r="AU55" s="324"/>
      <c r="AV55" s="324">
        <f t="shared" si="2"/>
        <v>0</v>
      </c>
      <c r="AW55" s="324">
        <f t="shared" si="6"/>
        <v>0</v>
      </c>
      <c r="AX55" s="413">
        <f t="shared" si="0"/>
        <v>0</v>
      </c>
      <c r="AY55" s="278">
        <f t="shared" si="3"/>
        <v>0</v>
      </c>
      <c r="AZ55" s="287">
        <f t="shared" si="4"/>
        <v>0</v>
      </c>
      <c r="BA55" s="287"/>
    </row>
    <row r="56" spans="19:53" s="245" customFormat="1" ht="15" x14ac:dyDescent="0.25">
      <c r="AS56" s="287" t="str">
        <f t="shared" si="1"/>
        <v/>
      </c>
      <c r="AT56" s="324">
        <f t="shared" si="5"/>
        <v>0</v>
      </c>
      <c r="AU56" s="324"/>
      <c r="AV56" s="324">
        <f t="shared" si="2"/>
        <v>0</v>
      </c>
      <c r="AW56" s="324">
        <f t="shared" si="6"/>
        <v>0</v>
      </c>
      <c r="AX56" s="413">
        <f t="shared" si="0"/>
        <v>0</v>
      </c>
      <c r="AY56" s="278">
        <f t="shared" si="3"/>
        <v>0</v>
      </c>
      <c r="AZ56" s="287">
        <f t="shared" si="4"/>
        <v>0</v>
      </c>
      <c r="BA56" s="287"/>
    </row>
    <row r="57" spans="19:53" s="245" customFormat="1" ht="15" x14ac:dyDescent="0.25">
      <c r="AS57" s="287" t="str">
        <f t="shared" si="1"/>
        <v/>
      </c>
      <c r="AT57" s="324">
        <f t="shared" si="5"/>
        <v>0</v>
      </c>
      <c r="AU57" s="324"/>
      <c r="AV57" s="324">
        <f t="shared" si="2"/>
        <v>0</v>
      </c>
      <c r="AW57" s="324">
        <f t="shared" si="6"/>
        <v>0</v>
      </c>
      <c r="AX57" s="413">
        <f t="shared" si="0"/>
        <v>0</v>
      </c>
      <c r="AY57" s="278">
        <f t="shared" si="3"/>
        <v>0</v>
      </c>
      <c r="AZ57" s="287">
        <f t="shared" si="4"/>
        <v>0</v>
      </c>
      <c r="BA57" s="287"/>
    </row>
    <row r="58" spans="19:53" s="245" customFormat="1" ht="15" x14ac:dyDescent="0.25">
      <c r="AS58" s="287" t="str">
        <f t="shared" si="1"/>
        <v/>
      </c>
      <c r="AT58" s="324">
        <f t="shared" si="5"/>
        <v>0</v>
      </c>
      <c r="AU58" s="324"/>
      <c r="AV58" s="324">
        <f t="shared" si="2"/>
        <v>0</v>
      </c>
      <c r="AW58" s="324">
        <f t="shared" si="6"/>
        <v>0</v>
      </c>
      <c r="AX58" s="413">
        <f t="shared" si="0"/>
        <v>0</v>
      </c>
      <c r="AY58" s="278">
        <f t="shared" si="3"/>
        <v>0</v>
      </c>
      <c r="AZ58" s="287">
        <f t="shared" si="4"/>
        <v>0</v>
      </c>
      <c r="BA58" s="287"/>
    </row>
    <row r="59" spans="19:53" s="245" customFormat="1" ht="15" x14ac:dyDescent="0.25">
      <c r="AS59" s="287" t="str">
        <f t="shared" si="1"/>
        <v/>
      </c>
      <c r="AT59" s="324">
        <f t="shared" si="5"/>
        <v>0</v>
      </c>
      <c r="AU59" s="324"/>
      <c r="AV59" s="324">
        <f t="shared" si="2"/>
        <v>0</v>
      </c>
      <c r="AW59" s="324">
        <f t="shared" si="6"/>
        <v>0</v>
      </c>
      <c r="AX59" s="413">
        <f t="shared" si="0"/>
        <v>0</v>
      </c>
      <c r="AY59" s="278">
        <f t="shared" si="3"/>
        <v>0</v>
      </c>
      <c r="AZ59" s="287">
        <f t="shared" si="4"/>
        <v>0</v>
      </c>
      <c r="BA59" s="287"/>
    </row>
    <row r="60" spans="19:53" s="245" customFormat="1" ht="15" x14ac:dyDescent="0.25">
      <c r="AS60" s="287" t="str">
        <f t="shared" si="1"/>
        <v/>
      </c>
      <c r="AT60" s="324">
        <f t="shared" si="5"/>
        <v>0</v>
      </c>
      <c r="AU60" s="324"/>
      <c r="AV60" s="324">
        <f t="shared" si="2"/>
        <v>0</v>
      </c>
      <c r="AW60" s="324">
        <f t="shared" si="6"/>
        <v>0</v>
      </c>
      <c r="AX60" s="413">
        <f t="shared" si="0"/>
        <v>0</v>
      </c>
      <c r="AY60" s="278">
        <f t="shared" si="3"/>
        <v>0</v>
      </c>
      <c r="AZ60" s="287">
        <f t="shared" si="4"/>
        <v>0</v>
      </c>
      <c r="BA60" s="287"/>
    </row>
    <row r="61" spans="19:53" s="245" customFormat="1" ht="15" x14ac:dyDescent="0.25">
      <c r="AS61" s="287" t="str">
        <f t="shared" si="1"/>
        <v/>
      </c>
      <c r="AT61" s="324">
        <f t="shared" si="5"/>
        <v>0</v>
      </c>
      <c r="AU61" s="324"/>
      <c r="AV61" s="324">
        <f t="shared" si="2"/>
        <v>0</v>
      </c>
      <c r="AW61" s="324">
        <f t="shared" si="6"/>
        <v>0</v>
      </c>
      <c r="AX61" s="413">
        <f t="shared" si="0"/>
        <v>0</v>
      </c>
      <c r="AY61" s="278">
        <f t="shared" si="3"/>
        <v>0</v>
      </c>
      <c r="AZ61" s="287">
        <f t="shared" si="4"/>
        <v>0</v>
      </c>
      <c r="BA61" s="287"/>
    </row>
    <row r="62" spans="19:53" s="245" customFormat="1" ht="15" x14ac:dyDescent="0.25">
      <c r="AS62" s="287" t="str">
        <f t="shared" si="1"/>
        <v/>
      </c>
      <c r="AT62" s="324">
        <f t="shared" si="5"/>
        <v>0</v>
      </c>
      <c r="AU62" s="324"/>
      <c r="AV62" s="324">
        <f t="shared" si="2"/>
        <v>0</v>
      </c>
      <c r="AW62" s="324">
        <f t="shared" si="6"/>
        <v>0</v>
      </c>
      <c r="AX62" s="413">
        <f t="shared" si="0"/>
        <v>0</v>
      </c>
      <c r="AY62" s="278">
        <f t="shared" si="3"/>
        <v>0</v>
      </c>
      <c r="AZ62" s="287">
        <f t="shared" si="4"/>
        <v>0</v>
      </c>
      <c r="BA62" s="287"/>
    </row>
    <row r="63" spans="19:53" s="245" customFormat="1" ht="15" x14ac:dyDescent="0.25">
      <c r="AS63" s="287" t="str">
        <f t="shared" si="1"/>
        <v/>
      </c>
      <c r="AT63" s="324">
        <f t="shared" si="5"/>
        <v>0</v>
      </c>
      <c r="AU63" s="324"/>
      <c r="AV63" s="324">
        <f t="shared" si="2"/>
        <v>0</v>
      </c>
      <c r="AW63" s="324">
        <f t="shared" si="6"/>
        <v>0</v>
      </c>
      <c r="AX63" s="413">
        <f t="shared" si="0"/>
        <v>0</v>
      </c>
      <c r="AY63" s="278">
        <f t="shared" si="3"/>
        <v>0</v>
      </c>
      <c r="AZ63" s="287">
        <f t="shared" si="4"/>
        <v>0</v>
      </c>
      <c r="BA63" s="287"/>
    </row>
    <row r="64" spans="19:53" s="245" customFormat="1" ht="15" x14ac:dyDescent="0.25">
      <c r="AS64" s="287" t="str">
        <f t="shared" si="1"/>
        <v/>
      </c>
      <c r="AT64" s="324">
        <f t="shared" si="5"/>
        <v>0</v>
      </c>
      <c r="AU64" s="324"/>
      <c r="AV64" s="324">
        <f t="shared" si="2"/>
        <v>0</v>
      </c>
      <c r="AW64" s="324">
        <f t="shared" si="6"/>
        <v>0</v>
      </c>
      <c r="AX64" s="413">
        <f t="shared" si="0"/>
        <v>0</v>
      </c>
      <c r="AY64" s="278">
        <f t="shared" si="3"/>
        <v>0</v>
      </c>
      <c r="AZ64" s="287">
        <f t="shared" si="4"/>
        <v>0</v>
      </c>
      <c r="BA64" s="287"/>
    </row>
    <row r="65" spans="45:53" s="245" customFormat="1" ht="15" x14ac:dyDescent="0.25">
      <c r="AS65" s="287" t="str">
        <f t="shared" si="1"/>
        <v/>
      </c>
      <c r="AT65" s="324">
        <f t="shared" si="5"/>
        <v>0</v>
      </c>
      <c r="AU65" s="324"/>
      <c r="AV65" s="324">
        <f t="shared" si="2"/>
        <v>0</v>
      </c>
      <c r="AW65" s="324">
        <f t="shared" si="6"/>
        <v>0</v>
      </c>
      <c r="AX65" s="413">
        <f t="shared" si="0"/>
        <v>0</v>
      </c>
      <c r="AY65" s="278">
        <f t="shared" si="3"/>
        <v>0</v>
      </c>
      <c r="AZ65" s="287">
        <f t="shared" si="4"/>
        <v>0</v>
      </c>
      <c r="BA65" s="287"/>
    </row>
    <row r="66" spans="45:53" s="245" customFormat="1" ht="15" x14ac:dyDescent="0.25">
      <c r="AS66" s="287" t="str">
        <f t="shared" si="1"/>
        <v/>
      </c>
      <c r="AT66" s="324">
        <f t="shared" si="5"/>
        <v>0</v>
      </c>
      <c r="AU66" s="324"/>
      <c r="AV66" s="324">
        <f t="shared" si="2"/>
        <v>0</v>
      </c>
      <c r="AW66" s="324">
        <f t="shared" si="6"/>
        <v>0</v>
      </c>
      <c r="AX66" s="413">
        <f t="shared" si="0"/>
        <v>0</v>
      </c>
      <c r="AY66" s="278">
        <f t="shared" si="3"/>
        <v>0</v>
      </c>
      <c r="AZ66" s="287">
        <f t="shared" si="4"/>
        <v>0</v>
      </c>
      <c r="BA66" s="287"/>
    </row>
    <row r="67" spans="45:53" s="245" customFormat="1" ht="15" x14ac:dyDescent="0.25">
      <c r="AS67" s="287" t="str">
        <f t="shared" si="1"/>
        <v/>
      </c>
      <c r="AT67" s="324">
        <f t="shared" si="5"/>
        <v>0</v>
      </c>
      <c r="AU67" s="324"/>
      <c r="AV67" s="324">
        <f t="shared" si="2"/>
        <v>0</v>
      </c>
      <c r="AW67" s="324">
        <f t="shared" si="6"/>
        <v>0</v>
      </c>
      <c r="AX67" s="413">
        <f t="shared" si="0"/>
        <v>0</v>
      </c>
      <c r="AY67" s="278">
        <f t="shared" si="3"/>
        <v>0</v>
      </c>
      <c r="AZ67" s="287">
        <f t="shared" si="4"/>
        <v>0</v>
      </c>
      <c r="BA67" s="287"/>
    </row>
    <row r="68" spans="45:53" s="245" customFormat="1" ht="15" x14ac:dyDescent="0.25">
      <c r="AS68" s="287" t="str">
        <f t="shared" si="1"/>
        <v/>
      </c>
      <c r="AT68" s="324">
        <f t="shared" si="5"/>
        <v>0</v>
      </c>
      <c r="AU68" s="324"/>
      <c r="AV68" s="324">
        <f t="shared" si="2"/>
        <v>0</v>
      </c>
      <c r="AW68" s="324">
        <f t="shared" si="6"/>
        <v>0</v>
      </c>
      <c r="AX68" s="413">
        <f t="shared" ref="AX68:AX110" si="8">IF(ISNUMBER(AS69),AU68+AV68,AU68+AV68+AW68*$D$16)</f>
        <v>0</v>
      </c>
      <c r="AY68" s="278">
        <f t="shared" si="3"/>
        <v>0</v>
      </c>
      <c r="AZ68" s="287">
        <f t="shared" si="4"/>
        <v>0</v>
      </c>
      <c r="BA68" s="287"/>
    </row>
    <row r="69" spans="45:53" s="245" customFormat="1" ht="15" x14ac:dyDescent="0.25">
      <c r="AS69" s="287" t="str">
        <f t="shared" ref="AS69:AS111" si="9">IF(AS68&lt;$D$14,AS68+1,"")</f>
        <v/>
      </c>
      <c r="AT69" s="324">
        <f t="shared" si="5"/>
        <v>0</v>
      </c>
      <c r="AU69" s="324"/>
      <c r="AV69" s="324">
        <f t="shared" ref="AV69:AV111" si="10">$D$10*AT69</f>
        <v>0</v>
      </c>
      <c r="AW69" s="324">
        <f t="shared" si="6"/>
        <v>0</v>
      </c>
      <c r="AX69" s="413">
        <f t="shared" si="8"/>
        <v>0</v>
      </c>
      <c r="AY69" s="278">
        <f t="shared" ref="AY69:AY111" si="11">IF(ISNUMBER(AS69),LN(AX69+$J$39)-LN($J$39),0)</f>
        <v>0</v>
      </c>
      <c r="AZ69" s="287">
        <f t="shared" ref="AZ69:AZ111" si="12">IF(ISNUMBER(AS69),AY69/(1+$D$7)^AS69,0)</f>
        <v>0</v>
      </c>
      <c r="BA69" s="287"/>
    </row>
    <row r="70" spans="45:53" s="245" customFormat="1" ht="15" x14ac:dyDescent="0.25">
      <c r="AS70" s="287" t="str">
        <f t="shared" si="9"/>
        <v/>
      </c>
      <c r="AT70" s="324">
        <f t="shared" ref="AT70:AT111" si="13">IF(ISNUMBER(AS70),AW69,0)</f>
        <v>0</v>
      </c>
      <c r="AU70" s="324"/>
      <c r="AV70" s="324">
        <f t="shared" si="10"/>
        <v>0</v>
      </c>
      <c r="AW70" s="324">
        <f t="shared" ref="AW70:AW111" si="14">AT70</f>
        <v>0</v>
      </c>
      <c r="AX70" s="413">
        <f t="shared" si="8"/>
        <v>0</v>
      </c>
      <c r="AY70" s="278">
        <f t="shared" si="11"/>
        <v>0</v>
      </c>
      <c r="AZ70" s="287">
        <f t="shared" si="12"/>
        <v>0</v>
      </c>
      <c r="BA70" s="287"/>
    </row>
    <row r="71" spans="45:53" s="245" customFormat="1" ht="15" x14ac:dyDescent="0.25">
      <c r="AS71" s="287" t="str">
        <f t="shared" si="9"/>
        <v/>
      </c>
      <c r="AT71" s="324">
        <f t="shared" si="13"/>
        <v>0</v>
      </c>
      <c r="AU71" s="324"/>
      <c r="AV71" s="324">
        <f t="shared" si="10"/>
        <v>0</v>
      </c>
      <c r="AW71" s="324">
        <f t="shared" si="14"/>
        <v>0</v>
      </c>
      <c r="AX71" s="413">
        <f t="shared" si="8"/>
        <v>0</v>
      </c>
      <c r="AY71" s="278">
        <f t="shared" si="11"/>
        <v>0</v>
      </c>
      <c r="AZ71" s="287">
        <f t="shared" si="12"/>
        <v>0</v>
      </c>
      <c r="BA71" s="287"/>
    </row>
    <row r="72" spans="45:53" s="245" customFormat="1" ht="15" x14ac:dyDescent="0.25">
      <c r="AS72" s="287" t="str">
        <f t="shared" si="9"/>
        <v/>
      </c>
      <c r="AT72" s="324">
        <f t="shared" si="13"/>
        <v>0</v>
      </c>
      <c r="AU72" s="324"/>
      <c r="AV72" s="324">
        <f t="shared" si="10"/>
        <v>0</v>
      </c>
      <c r="AW72" s="324">
        <f t="shared" si="14"/>
        <v>0</v>
      </c>
      <c r="AX72" s="413">
        <f t="shared" si="8"/>
        <v>0</v>
      </c>
      <c r="AY72" s="278">
        <f t="shared" si="11"/>
        <v>0</v>
      </c>
      <c r="AZ72" s="287">
        <f t="shared" si="12"/>
        <v>0</v>
      </c>
      <c r="BA72" s="287"/>
    </row>
    <row r="73" spans="45:53" s="245" customFormat="1" ht="15" x14ac:dyDescent="0.25">
      <c r="AS73" s="287" t="str">
        <f t="shared" si="9"/>
        <v/>
      </c>
      <c r="AT73" s="324">
        <f t="shared" si="13"/>
        <v>0</v>
      </c>
      <c r="AU73" s="324"/>
      <c r="AV73" s="324">
        <f t="shared" si="10"/>
        <v>0</v>
      </c>
      <c r="AW73" s="324">
        <f t="shared" si="14"/>
        <v>0</v>
      </c>
      <c r="AX73" s="413">
        <f t="shared" si="8"/>
        <v>0</v>
      </c>
      <c r="AY73" s="278">
        <f t="shared" si="11"/>
        <v>0</v>
      </c>
      <c r="AZ73" s="287">
        <f t="shared" si="12"/>
        <v>0</v>
      </c>
      <c r="BA73" s="287"/>
    </row>
    <row r="74" spans="45:53" s="245" customFormat="1" ht="15" x14ac:dyDescent="0.25">
      <c r="AS74" s="287" t="str">
        <f t="shared" si="9"/>
        <v/>
      </c>
      <c r="AT74" s="324">
        <f t="shared" si="13"/>
        <v>0</v>
      </c>
      <c r="AU74" s="324"/>
      <c r="AV74" s="324">
        <f t="shared" si="10"/>
        <v>0</v>
      </c>
      <c r="AW74" s="324">
        <f t="shared" si="14"/>
        <v>0</v>
      </c>
      <c r="AX74" s="413">
        <f t="shared" si="8"/>
        <v>0</v>
      </c>
      <c r="AY74" s="278">
        <f t="shared" si="11"/>
        <v>0</v>
      </c>
      <c r="AZ74" s="287">
        <f t="shared" si="12"/>
        <v>0</v>
      </c>
      <c r="BA74" s="287"/>
    </row>
    <row r="75" spans="45:53" s="245" customFormat="1" ht="15" x14ac:dyDescent="0.25">
      <c r="AS75" s="287" t="str">
        <f t="shared" si="9"/>
        <v/>
      </c>
      <c r="AT75" s="324">
        <f t="shared" si="13"/>
        <v>0</v>
      </c>
      <c r="AU75" s="324"/>
      <c r="AV75" s="324">
        <f t="shared" si="10"/>
        <v>0</v>
      </c>
      <c r="AW75" s="324">
        <f t="shared" si="14"/>
        <v>0</v>
      </c>
      <c r="AX75" s="413">
        <f t="shared" si="8"/>
        <v>0</v>
      </c>
      <c r="AY75" s="278">
        <f t="shared" si="11"/>
        <v>0</v>
      </c>
      <c r="AZ75" s="287">
        <f t="shared" si="12"/>
        <v>0</v>
      </c>
      <c r="BA75" s="287"/>
    </row>
    <row r="76" spans="45:53" s="245" customFormat="1" ht="15" x14ac:dyDescent="0.25">
      <c r="AS76" s="287" t="str">
        <f t="shared" si="9"/>
        <v/>
      </c>
      <c r="AT76" s="324">
        <f t="shared" si="13"/>
        <v>0</v>
      </c>
      <c r="AU76" s="324"/>
      <c r="AV76" s="324">
        <f t="shared" si="10"/>
        <v>0</v>
      </c>
      <c r="AW76" s="324">
        <f t="shared" si="14"/>
        <v>0</v>
      </c>
      <c r="AX76" s="413">
        <f t="shared" si="8"/>
        <v>0</v>
      </c>
      <c r="AY76" s="278">
        <f t="shared" si="11"/>
        <v>0</v>
      </c>
      <c r="AZ76" s="287">
        <f t="shared" si="12"/>
        <v>0</v>
      </c>
      <c r="BA76" s="287"/>
    </row>
    <row r="77" spans="45:53" s="245" customFormat="1" ht="15" x14ac:dyDescent="0.25">
      <c r="AS77" s="287" t="str">
        <f t="shared" si="9"/>
        <v/>
      </c>
      <c r="AT77" s="324">
        <f t="shared" si="13"/>
        <v>0</v>
      </c>
      <c r="AU77" s="324"/>
      <c r="AV77" s="324">
        <f t="shared" si="10"/>
        <v>0</v>
      </c>
      <c r="AW77" s="324">
        <f t="shared" si="14"/>
        <v>0</v>
      </c>
      <c r="AX77" s="413">
        <f t="shared" si="8"/>
        <v>0</v>
      </c>
      <c r="AY77" s="278">
        <f t="shared" si="11"/>
        <v>0</v>
      </c>
      <c r="AZ77" s="287">
        <f t="shared" si="12"/>
        <v>0</v>
      </c>
      <c r="BA77" s="287"/>
    </row>
    <row r="78" spans="45:53" s="245" customFormat="1" ht="15" x14ac:dyDescent="0.25">
      <c r="AS78" s="287" t="str">
        <f t="shared" si="9"/>
        <v/>
      </c>
      <c r="AT78" s="324">
        <f t="shared" si="13"/>
        <v>0</v>
      </c>
      <c r="AU78" s="324"/>
      <c r="AV78" s="324">
        <f t="shared" si="10"/>
        <v>0</v>
      </c>
      <c r="AW78" s="324">
        <f t="shared" si="14"/>
        <v>0</v>
      </c>
      <c r="AX78" s="413">
        <f t="shared" si="8"/>
        <v>0</v>
      </c>
      <c r="AY78" s="278">
        <f t="shared" si="11"/>
        <v>0</v>
      </c>
      <c r="AZ78" s="287">
        <f t="shared" si="12"/>
        <v>0</v>
      </c>
      <c r="BA78" s="287"/>
    </row>
    <row r="79" spans="45:53" s="245" customFormat="1" ht="15" x14ac:dyDescent="0.25">
      <c r="AS79" s="287" t="str">
        <f t="shared" si="9"/>
        <v/>
      </c>
      <c r="AT79" s="324">
        <f t="shared" si="13"/>
        <v>0</v>
      </c>
      <c r="AU79" s="324"/>
      <c r="AV79" s="324">
        <f t="shared" si="10"/>
        <v>0</v>
      </c>
      <c r="AW79" s="324">
        <f t="shared" si="14"/>
        <v>0</v>
      </c>
      <c r="AX79" s="413">
        <f t="shared" si="8"/>
        <v>0</v>
      </c>
      <c r="AY79" s="278">
        <f t="shared" si="11"/>
        <v>0</v>
      </c>
      <c r="AZ79" s="287">
        <f t="shared" si="12"/>
        <v>0</v>
      </c>
      <c r="BA79" s="287"/>
    </row>
    <row r="80" spans="45:53" s="245" customFormat="1" ht="15" x14ac:dyDescent="0.25">
      <c r="AS80" s="287" t="str">
        <f t="shared" si="9"/>
        <v/>
      </c>
      <c r="AT80" s="324">
        <f t="shared" si="13"/>
        <v>0</v>
      </c>
      <c r="AU80" s="324"/>
      <c r="AV80" s="324">
        <f t="shared" si="10"/>
        <v>0</v>
      </c>
      <c r="AW80" s="324">
        <f t="shared" si="14"/>
        <v>0</v>
      </c>
      <c r="AX80" s="413">
        <f t="shared" si="8"/>
        <v>0</v>
      </c>
      <c r="AY80" s="278">
        <f t="shared" si="11"/>
        <v>0</v>
      </c>
      <c r="AZ80" s="287">
        <f t="shared" si="12"/>
        <v>0</v>
      </c>
      <c r="BA80" s="287"/>
    </row>
    <row r="81" spans="45:53" s="245" customFormat="1" ht="15" x14ac:dyDescent="0.25">
      <c r="AS81" s="287" t="str">
        <f t="shared" si="9"/>
        <v/>
      </c>
      <c r="AT81" s="324">
        <f t="shared" si="13"/>
        <v>0</v>
      </c>
      <c r="AU81" s="324"/>
      <c r="AV81" s="324">
        <f t="shared" si="10"/>
        <v>0</v>
      </c>
      <c r="AW81" s="324">
        <f t="shared" si="14"/>
        <v>0</v>
      </c>
      <c r="AX81" s="413">
        <f t="shared" si="8"/>
        <v>0</v>
      </c>
      <c r="AY81" s="278">
        <f t="shared" si="11"/>
        <v>0</v>
      </c>
      <c r="AZ81" s="287">
        <f t="shared" si="12"/>
        <v>0</v>
      </c>
      <c r="BA81" s="287"/>
    </row>
    <row r="82" spans="45:53" s="245" customFormat="1" ht="15" x14ac:dyDescent="0.25">
      <c r="AS82" s="287" t="str">
        <f t="shared" si="9"/>
        <v/>
      </c>
      <c r="AT82" s="324">
        <f t="shared" si="13"/>
        <v>0</v>
      </c>
      <c r="AU82" s="324"/>
      <c r="AV82" s="324">
        <f t="shared" si="10"/>
        <v>0</v>
      </c>
      <c r="AW82" s="324">
        <f t="shared" si="14"/>
        <v>0</v>
      </c>
      <c r="AX82" s="413">
        <f t="shared" si="8"/>
        <v>0</v>
      </c>
      <c r="AY82" s="278">
        <f t="shared" si="11"/>
        <v>0</v>
      </c>
      <c r="AZ82" s="287">
        <f t="shared" si="12"/>
        <v>0</v>
      </c>
      <c r="BA82" s="287"/>
    </row>
    <row r="83" spans="45:53" s="245" customFormat="1" ht="15" x14ac:dyDescent="0.25">
      <c r="AS83" s="287" t="str">
        <f t="shared" si="9"/>
        <v/>
      </c>
      <c r="AT83" s="324">
        <f t="shared" si="13"/>
        <v>0</v>
      </c>
      <c r="AU83" s="324"/>
      <c r="AV83" s="324">
        <f t="shared" si="10"/>
        <v>0</v>
      </c>
      <c r="AW83" s="324">
        <f t="shared" si="14"/>
        <v>0</v>
      </c>
      <c r="AX83" s="413">
        <f t="shared" si="8"/>
        <v>0</v>
      </c>
      <c r="AY83" s="278">
        <f t="shared" si="11"/>
        <v>0</v>
      </c>
      <c r="AZ83" s="287">
        <f t="shared" si="12"/>
        <v>0</v>
      </c>
      <c r="BA83" s="287"/>
    </row>
    <row r="84" spans="45:53" s="245" customFormat="1" ht="15" x14ac:dyDescent="0.25">
      <c r="AS84" s="287" t="str">
        <f t="shared" si="9"/>
        <v/>
      </c>
      <c r="AT84" s="324">
        <f t="shared" si="13"/>
        <v>0</v>
      </c>
      <c r="AU84" s="324"/>
      <c r="AV84" s="324">
        <f t="shared" si="10"/>
        <v>0</v>
      </c>
      <c r="AW84" s="324">
        <f t="shared" si="14"/>
        <v>0</v>
      </c>
      <c r="AX84" s="413">
        <f t="shared" si="8"/>
        <v>0</v>
      </c>
      <c r="AY84" s="278">
        <f t="shared" si="11"/>
        <v>0</v>
      </c>
      <c r="AZ84" s="287">
        <f t="shared" si="12"/>
        <v>0</v>
      </c>
      <c r="BA84" s="287"/>
    </row>
    <row r="85" spans="45:53" s="245" customFormat="1" ht="15" x14ac:dyDescent="0.25">
      <c r="AS85" s="287" t="str">
        <f t="shared" si="9"/>
        <v/>
      </c>
      <c r="AT85" s="324">
        <f t="shared" si="13"/>
        <v>0</v>
      </c>
      <c r="AU85" s="324"/>
      <c r="AV85" s="324">
        <f t="shared" si="10"/>
        <v>0</v>
      </c>
      <c r="AW85" s="324">
        <f t="shared" si="14"/>
        <v>0</v>
      </c>
      <c r="AX85" s="413">
        <f t="shared" si="8"/>
        <v>0</v>
      </c>
      <c r="AY85" s="278">
        <f t="shared" si="11"/>
        <v>0</v>
      </c>
      <c r="AZ85" s="287">
        <f t="shared" si="12"/>
        <v>0</v>
      </c>
      <c r="BA85" s="287"/>
    </row>
    <row r="86" spans="45:53" s="245" customFormat="1" ht="15" x14ac:dyDescent="0.25">
      <c r="AS86" s="287" t="str">
        <f t="shared" si="9"/>
        <v/>
      </c>
      <c r="AT86" s="324">
        <f t="shared" si="13"/>
        <v>0</v>
      </c>
      <c r="AU86" s="324"/>
      <c r="AV86" s="324">
        <f t="shared" si="10"/>
        <v>0</v>
      </c>
      <c r="AW86" s="324">
        <f t="shared" si="14"/>
        <v>0</v>
      </c>
      <c r="AX86" s="413">
        <f t="shared" si="8"/>
        <v>0</v>
      </c>
      <c r="AY86" s="278">
        <f t="shared" si="11"/>
        <v>0</v>
      </c>
      <c r="AZ86" s="287">
        <f t="shared" si="12"/>
        <v>0</v>
      </c>
      <c r="BA86" s="287"/>
    </row>
    <row r="87" spans="45:53" s="245" customFormat="1" ht="15" x14ac:dyDescent="0.25">
      <c r="AS87" s="287" t="str">
        <f t="shared" si="9"/>
        <v/>
      </c>
      <c r="AT87" s="324">
        <f t="shared" si="13"/>
        <v>0</v>
      </c>
      <c r="AU87" s="324"/>
      <c r="AV87" s="324">
        <f t="shared" si="10"/>
        <v>0</v>
      </c>
      <c r="AW87" s="324">
        <f t="shared" si="14"/>
        <v>0</v>
      </c>
      <c r="AX87" s="413">
        <f t="shared" si="8"/>
        <v>0</v>
      </c>
      <c r="AY87" s="278">
        <f t="shared" si="11"/>
        <v>0</v>
      </c>
      <c r="AZ87" s="287">
        <f t="shared" si="12"/>
        <v>0</v>
      </c>
      <c r="BA87" s="287"/>
    </row>
    <row r="88" spans="45:53" s="245" customFormat="1" ht="15" x14ac:dyDescent="0.25">
      <c r="AS88" s="287" t="str">
        <f t="shared" si="9"/>
        <v/>
      </c>
      <c r="AT88" s="324">
        <f t="shared" si="13"/>
        <v>0</v>
      </c>
      <c r="AU88" s="324"/>
      <c r="AV88" s="324">
        <f t="shared" si="10"/>
        <v>0</v>
      </c>
      <c r="AW88" s="324">
        <f t="shared" si="14"/>
        <v>0</v>
      </c>
      <c r="AX88" s="413">
        <f t="shared" si="8"/>
        <v>0</v>
      </c>
      <c r="AY88" s="278">
        <f t="shared" si="11"/>
        <v>0</v>
      </c>
      <c r="AZ88" s="287">
        <f t="shared" si="12"/>
        <v>0</v>
      </c>
      <c r="BA88" s="287"/>
    </row>
    <row r="89" spans="45:53" s="245" customFormat="1" ht="15" x14ac:dyDescent="0.25">
      <c r="AS89" s="287" t="str">
        <f t="shared" si="9"/>
        <v/>
      </c>
      <c r="AT89" s="324">
        <f t="shared" si="13"/>
        <v>0</v>
      </c>
      <c r="AU89" s="324"/>
      <c r="AV89" s="324">
        <f t="shared" si="10"/>
        <v>0</v>
      </c>
      <c r="AW89" s="324">
        <f t="shared" si="14"/>
        <v>0</v>
      </c>
      <c r="AX89" s="413">
        <f t="shared" si="8"/>
        <v>0</v>
      </c>
      <c r="AY89" s="278">
        <f t="shared" si="11"/>
        <v>0</v>
      </c>
      <c r="AZ89" s="287">
        <f t="shared" si="12"/>
        <v>0</v>
      </c>
      <c r="BA89" s="287"/>
    </row>
    <row r="90" spans="45:53" s="245" customFormat="1" ht="15" x14ac:dyDescent="0.25">
      <c r="AS90" s="287" t="str">
        <f t="shared" si="9"/>
        <v/>
      </c>
      <c r="AT90" s="324">
        <f t="shared" si="13"/>
        <v>0</v>
      </c>
      <c r="AU90" s="324"/>
      <c r="AV90" s="324">
        <f t="shared" si="10"/>
        <v>0</v>
      </c>
      <c r="AW90" s="324">
        <f t="shared" si="14"/>
        <v>0</v>
      </c>
      <c r="AX90" s="413">
        <f t="shared" si="8"/>
        <v>0</v>
      </c>
      <c r="AY90" s="278">
        <f t="shared" si="11"/>
        <v>0</v>
      </c>
      <c r="AZ90" s="287">
        <f t="shared" si="12"/>
        <v>0</v>
      </c>
      <c r="BA90" s="287"/>
    </row>
    <row r="91" spans="45:53" s="245" customFormat="1" ht="15" x14ac:dyDescent="0.25">
      <c r="AS91" s="287" t="str">
        <f t="shared" si="9"/>
        <v/>
      </c>
      <c r="AT91" s="324">
        <f t="shared" si="13"/>
        <v>0</v>
      </c>
      <c r="AU91" s="324"/>
      <c r="AV91" s="324">
        <f t="shared" si="10"/>
        <v>0</v>
      </c>
      <c r="AW91" s="324">
        <f t="shared" si="14"/>
        <v>0</v>
      </c>
      <c r="AX91" s="413">
        <f t="shared" si="8"/>
        <v>0</v>
      </c>
      <c r="AY91" s="278">
        <f t="shared" si="11"/>
        <v>0</v>
      </c>
      <c r="AZ91" s="287">
        <f t="shared" si="12"/>
        <v>0</v>
      </c>
      <c r="BA91" s="287"/>
    </row>
    <row r="92" spans="45:53" s="245" customFormat="1" ht="15" x14ac:dyDescent="0.25">
      <c r="AS92" s="287" t="str">
        <f t="shared" si="9"/>
        <v/>
      </c>
      <c r="AT92" s="324">
        <f t="shared" si="13"/>
        <v>0</v>
      </c>
      <c r="AU92" s="324"/>
      <c r="AV92" s="324">
        <f t="shared" si="10"/>
        <v>0</v>
      </c>
      <c r="AW92" s="324">
        <f t="shared" si="14"/>
        <v>0</v>
      </c>
      <c r="AX92" s="413">
        <f t="shared" si="8"/>
        <v>0</v>
      </c>
      <c r="AY92" s="278">
        <f t="shared" si="11"/>
        <v>0</v>
      </c>
      <c r="AZ92" s="287">
        <f t="shared" si="12"/>
        <v>0</v>
      </c>
      <c r="BA92" s="287"/>
    </row>
    <row r="93" spans="45:53" s="245" customFormat="1" ht="15" x14ac:dyDescent="0.25">
      <c r="AS93" s="287" t="str">
        <f t="shared" si="9"/>
        <v/>
      </c>
      <c r="AT93" s="324">
        <f t="shared" si="13"/>
        <v>0</v>
      </c>
      <c r="AU93" s="324"/>
      <c r="AV93" s="324">
        <f t="shared" si="10"/>
        <v>0</v>
      </c>
      <c r="AW93" s="324">
        <f t="shared" si="14"/>
        <v>0</v>
      </c>
      <c r="AX93" s="413">
        <f t="shared" si="8"/>
        <v>0</v>
      </c>
      <c r="AY93" s="278">
        <f t="shared" si="11"/>
        <v>0</v>
      </c>
      <c r="AZ93" s="287">
        <f t="shared" si="12"/>
        <v>0</v>
      </c>
      <c r="BA93" s="287"/>
    </row>
    <row r="94" spans="45:53" s="245" customFormat="1" ht="15" x14ac:dyDescent="0.25">
      <c r="AS94" s="287" t="str">
        <f t="shared" si="9"/>
        <v/>
      </c>
      <c r="AT94" s="324">
        <f t="shared" si="13"/>
        <v>0</v>
      </c>
      <c r="AU94" s="324"/>
      <c r="AV94" s="324">
        <f t="shared" si="10"/>
        <v>0</v>
      </c>
      <c r="AW94" s="324">
        <f t="shared" si="14"/>
        <v>0</v>
      </c>
      <c r="AX94" s="413">
        <f t="shared" si="8"/>
        <v>0</v>
      </c>
      <c r="AY94" s="278">
        <f t="shared" si="11"/>
        <v>0</v>
      </c>
      <c r="AZ94" s="287">
        <f t="shared" si="12"/>
        <v>0</v>
      </c>
      <c r="BA94" s="287"/>
    </row>
    <row r="95" spans="45:53" s="245" customFormat="1" ht="15" x14ac:dyDescent="0.25">
      <c r="AS95" s="287" t="str">
        <f t="shared" si="9"/>
        <v/>
      </c>
      <c r="AT95" s="324">
        <f t="shared" si="13"/>
        <v>0</v>
      </c>
      <c r="AU95" s="324"/>
      <c r="AV95" s="324">
        <f t="shared" si="10"/>
        <v>0</v>
      </c>
      <c r="AW95" s="324">
        <f t="shared" si="14"/>
        <v>0</v>
      </c>
      <c r="AX95" s="413">
        <f t="shared" si="8"/>
        <v>0</v>
      </c>
      <c r="AY95" s="278">
        <f t="shared" si="11"/>
        <v>0</v>
      </c>
      <c r="AZ95" s="287">
        <f t="shared" si="12"/>
        <v>0</v>
      </c>
      <c r="BA95" s="287"/>
    </row>
    <row r="96" spans="45:53" s="245" customFormat="1" ht="15" x14ac:dyDescent="0.25">
      <c r="AS96" s="287" t="str">
        <f t="shared" si="9"/>
        <v/>
      </c>
      <c r="AT96" s="324">
        <f t="shared" si="13"/>
        <v>0</v>
      </c>
      <c r="AU96" s="324"/>
      <c r="AV96" s="324">
        <f t="shared" si="10"/>
        <v>0</v>
      </c>
      <c r="AW96" s="324">
        <f t="shared" si="14"/>
        <v>0</v>
      </c>
      <c r="AX96" s="413">
        <f t="shared" si="8"/>
        <v>0</v>
      </c>
      <c r="AY96" s="278">
        <f t="shared" si="11"/>
        <v>0</v>
      </c>
      <c r="AZ96" s="287">
        <f t="shared" si="12"/>
        <v>0</v>
      </c>
      <c r="BA96" s="287"/>
    </row>
    <row r="97" spans="45:53" s="245" customFormat="1" ht="15" x14ac:dyDescent="0.25">
      <c r="AS97" s="287" t="str">
        <f t="shared" si="9"/>
        <v/>
      </c>
      <c r="AT97" s="324">
        <f t="shared" si="13"/>
        <v>0</v>
      </c>
      <c r="AU97" s="324"/>
      <c r="AV97" s="324">
        <f t="shared" si="10"/>
        <v>0</v>
      </c>
      <c r="AW97" s="324">
        <f t="shared" si="14"/>
        <v>0</v>
      </c>
      <c r="AX97" s="413">
        <f t="shared" si="8"/>
        <v>0</v>
      </c>
      <c r="AY97" s="278">
        <f t="shared" si="11"/>
        <v>0</v>
      </c>
      <c r="AZ97" s="287">
        <f t="shared" si="12"/>
        <v>0</v>
      </c>
      <c r="BA97" s="287"/>
    </row>
    <row r="98" spans="45:53" s="245" customFormat="1" ht="15" x14ac:dyDescent="0.25">
      <c r="AS98" s="287" t="str">
        <f t="shared" si="9"/>
        <v/>
      </c>
      <c r="AT98" s="324">
        <f t="shared" si="13"/>
        <v>0</v>
      </c>
      <c r="AU98" s="324"/>
      <c r="AV98" s="324">
        <f t="shared" si="10"/>
        <v>0</v>
      </c>
      <c r="AW98" s="324">
        <f t="shared" si="14"/>
        <v>0</v>
      </c>
      <c r="AX98" s="413">
        <f t="shared" si="8"/>
        <v>0</v>
      </c>
      <c r="AY98" s="278">
        <f t="shared" si="11"/>
        <v>0</v>
      </c>
      <c r="AZ98" s="287">
        <f t="shared" si="12"/>
        <v>0</v>
      </c>
      <c r="BA98" s="287"/>
    </row>
    <row r="99" spans="45:53" s="245" customFormat="1" ht="15" x14ac:dyDescent="0.25">
      <c r="AS99" s="287" t="str">
        <f t="shared" si="9"/>
        <v/>
      </c>
      <c r="AT99" s="324">
        <f t="shared" si="13"/>
        <v>0</v>
      </c>
      <c r="AU99" s="324"/>
      <c r="AV99" s="324">
        <f t="shared" si="10"/>
        <v>0</v>
      </c>
      <c r="AW99" s="324">
        <f t="shared" si="14"/>
        <v>0</v>
      </c>
      <c r="AX99" s="413">
        <f t="shared" si="8"/>
        <v>0</v>
      </c>
      <c r="AY99" s="278">
        <f t="shared" si="11"/>
        <v>0</v>
      </c>
      <c r="AZ99" s="287">
        <f t="shared" si="12"/>
        <v>0</v>
      </c>
      <c r="BA99" s="287"/>
    </row>
    <row r="100" spans="45:53" s="245" customFormat="1" ht="15" x14ac:dyDescent="0.25">
      <c r="AS100" s="287" t="str">
        <f t="shared" si="9"/>
        <v/>
      </c>
      <c r="AT100" s="324">
        <f t="shared" si="13"/>
        <v>0</v>
      </c>
      <c r="AU100" s="324"/>
      <c r="AV100" s="324">
        <f t="shared" si="10"/>
        <v>0</v>
      </c>
      <c r="AW100" s="324">
        <f t="shared" si="14"/>
        <v>0</v>
      </c>
      <c r="AX100" s="413">
        <f t="shared" si="8"/>
        <v>0</v>
      </c>
      <c r="AY100" s="278">
        <f t="shared" si="11"/>
        <v>0</v>
      </c>
      <c r="AZ100" s="287">
        <f t="shared" si="12"/>
        <v>0</v>
      </c>
      <c r="BA100" s="287"/>
    </row>
    <row r="101" spans="45:53" s="245" customFormat="1" ht="15" x14ac:dyDescent="0.25">
      <c r="AS101" s="287" t="str">
        <f t="shared" si="9"/>
        <v/>
      </c>
      <c r="AT101" s="324">
        <f t="shared" si="13"/>
        <v>0</v>
      </c>
      <c r="AU101" s="324"/>
      <c r="AV101" s="324">
        <f t="shared" si="10"/>
        <v>0</v>
      </c>
      <c r="AW101" s="324">
        <f t="shared" si="14"/>
        <v>0</v>
      </c>
      <c r="AX101" s="413">
        <f t="shared" si="8"/>
        <v>0</v>
      </c>
      <c r="AY101" s="278">
        <f t="shared" si="11"/>
        <v>0</v>
      </c>
      <c r="AZ101" s="287">
        <f t="shared" si="12"/>
        <v>0</v>
      </c>
      <c r="BA101" s="287"/>
    </row>
    <row r="102" spans="45:53" s="245" customFormat="1" ht="15" x14ac:dyDescent="0.25">
      <c r="AS102" s="287" t="str">
        <f t="shared" si="9"/>
        <v/>
      </c>
      <c r="AT102" s="324">
        <f t="shared" si="13"/>
        <v>0</v>
      </c>
      <c r="AU102" s="324"/>
      <c r="AV102" s="324">
        <f t="shared" si="10"/>
        <v>0</v>
      </c>
      <c r="AW102" s="324">
        <f t="shared" si="14"/>
        <v>0</v>
      </c>
      <c r="AX102" s="413">
        <f t="shared" si="8"/>
        <v>0</v>
      </c>
      <c r="AY102" s="278">
        <f t="shared" si="11"/>
        <v>0</v>
      </c>
      <c r="AZ102" s="287">
        <f t="shared" si="12"/>
        <v>0</v>
      </c>
      <c r="BA102" s="287"/>
    </row>
    <row r="103" spans="45:53" s="245" customFormat="1" ht="15" x14ac:dyDescent="0.25">
      <c r="AS103" s="287" t="str">
        <f t="shared" si="9"/>
        <v/>
      </c>
      <c r="AT103" s="324">
        <f t="shared" si="13"/>
        <v>0</v>
      </c>
      <c r="AU103" s="324"/>
      <c r="AV103" s="324">
        <f t="shared" si="10"/>
        <v>0</v>
      </c>
      <c r="AW103" s="324">
        <f t="shared" si="14"/>
        <v>0</v>
      </c>
      <c r="AX103" s="413">
        <f t="shared" si="8"/>
        <v>0</v>
      </c>
      <c r="AY103" s="278">
        <f>IF(ISNUMBER(AS103),LN(AX103+$J$39)-LN($J$39),0)</f>
        <v>0</v>
      </c>
      <c r="AZ103" s="287">
        <f t="shared" si="12"/>
        <v>0</v>
      </c>
      <c r="BA103" s="287"/>
    </row>
    <row r="104" spans="45:53" s="245" customFormat="1" ht="15" x14ac:dyDescent="0.25">
      <c r="AS104" s="287" t="str">
        <f t="shared" si="9"/>
        <v/>
      </c>
      <c r="AT104" s="324">
        <f t="shared" si="13"/>
        <v>0</v>
      </c>
      <c r="AU104" s="324"/>
      <c r="AV104" s="324">
        <f t="shared" si="10"/>
        <v>0</v>
      </c>
      <c r="AW104" s="324">
        <f t="shared" si="14"/>
        <v>0</v>
      </c>
      <c r="AX104" s="413">
        <f t="shared" si="8"/>
        <v>0</v>
      </c>
      <c r="AY104" s="278">
        <f t="shared" si="11"/>
        <v>0</v>
      </c>
      <c r="AZ104" s="287">
        <f t="shared" si="12"/>
        <v>0</v>
      </c>
      <c r="BA104" s="287"/>
    </row>
    <row r="105" spans="45:53" s="245" customFormat="1" ht="15" x14ac:dyDescent="0.25">
      <c r="AS105" s="287" t="str">
        <f t="shared" si="9"/>
        <v/>
      </c>
      <c r="AT105" s="324">
        <f t="shared" si="13"/>
        <v>0</v>
      </c>
      <c r="AU105" s="324"/>
      <c r="AV105" s="324">
        <f t="shared" si="10"/>
        <v>0</v>
      </c>
      <c r="AW105" s="324">
        <f t="shared" si="14"/>
        <v>0</v>
      </c>
      <c r="AX105" s="413">
        <f t="shared" si="8"/>
        <v>0</v>
      </c>
      <c r="AY105" s="278">
        <f t="shared" si="11"/>
        <v>0</v>
      </c>
      <c r="AZ105" s="287">
        <f t="shared" si="12"/>
        <v>0</v>
      </c>
      <c r="BA105" s="287"/>
    </row>
    <row r="106" spans="45:53" s="245" customFormat="1" ht="15" x14ac:dyDescent="0.25">
      <c r="AS106" s="287" t="str">
        <f t="shared" si="9"/>
        <v/>
      </c>
      <c r="AT106" s="324">
        <f t="shared" si="13"/>
        <v>0</v>
      </c>
      <c r="AU106" s="324"/>
      <c r="AV106" s="324">
        <f t="shared" si="10"/>
        <v>0</v>
      </c>
      <c r="AW106" s="324">
        <f t="shared" si="14"/>
        <v>0</v>
      </c>
      <c r="AX106" s="413">
        <f t="shared" si="8"/>
        <v>0</v>
      </c>
      <c r="AY106" s="278">
        <f t="shared" si="11"/>
        <v>0</v>
      </c>
      <c r="AZ106" s="287">
        <f t="shared" si="12"/>
        <v>0</v>
      </c>
      <c r="BA106" s="287"/>
    </row>
    <row r="107" spans="45:53" s="245" customFormat="1" ht="15" x14ac:dyDescent="0.25">
      <c r="AS107" s="287" t="str">
        <f t="shared" si="9"/>
        <v/>
      </c>
      <c r="AT107" s="324">
        <f t="shared" si="13"/>
        <v>0</v>
      </c>
      <c r="AU107" s="324"/>
      <c r="AV107" s="324">
        <f t="shared" si="10"/>
        <v>0</v>
      </c>
      <c r="AW107" s="324">
        <f t="shared" si="14"/>
        <v>0</v>
      </c>
      <c r="AX107" s="413">
        <f t="shared" si="8"/>
        <v>0</v>
      </c>
      <c r="AY107" s="278">
        <f t="shared" si="11"/>
        <v>0</v>
      </c>
      <c r="AZ107" s="287">
        <f t="shared" si="12"/>
        <v>0</v>
      </c>
      <c r="BA107" s="287"/>
    </row>
    <row r="108" spans="45:53" s="245" customFormat="1" ht="15" x14ac:dyDescent="0.25">
      <c r="AS108" s="287" t="str">
        <f t="shared" si="9"/>
        <v/>
      </c>
      <c r="AT108" s="324">
        <f t="shared" si="13"/>
        <v>0</v>
      </c>
      <c r="AU108" s="324"/>
      <c r="AV108" s="324">
        <f t="shared" si="10"/>
        <v>0</v>
      </c>
      <c r="AW108" s="324">
        <f t="shared" si="14"/>
        <v>0</v>
      </c>
      <c r="AX108" s="413">
        <f t="shared" si="8"/>
        <v>0</v>
      </c>
      <c r="AY108" s="278">
        <f t="shared" si="11"/>
        <v>0</v>
      </c>
      <c r="AZ108" s="287">
        <f t="shared" si="12"/>
        <v>0</v>
      </c>
      <c r="BA108" s="287"/>
    </row>
    <row r="109" spans="45:53" s="245" customFormat="1" ht="15" x14ac:dyDescent="0.25">
      <c r="AS109" s="287" t="str">
        <f t="shared" si="9"/>
        <v/>
      </c>
      <c r="AT109" s="324">
        <f t="shared" si="13"/>
        <v>0</v>
      </c>
      <c r="AU109" s="324"/>
      <c r="AV109" s="324">
        <f t="shared" si="10"/>
        <v>0</v>
      </c>
      <c r="AW109" s="324">
        <f t="shared" si="14"/>
        <v>0</v>
      </c>
      <c r="AX109" s="413">
        <f t="shared" si="8"/>
        <v>0</v>
      </c>
      <c r="AY109" s="278">
        <f t="shared" si="11"/>
        <v>0</v>
      </c>
      <c r="AZ109" s="287">
        <f t="shared" si="12"/>
        <v>0</v>
      </c>
      <c r="BA109" s="287"/>
    </row>
    <row r="110" spans="45:53" s="245" customFormat="1" ht="15" x14ac:dyDescent="0.25">
      <c r="AS110" s="287" t="str">
        <f t="shared" si="9"/>
        <v/>
      </c>
      <c r="AT110" s="324">
        <f t="shared" si="13"/>
        <v>0</v>
      </c>
      <c r="AU110" s="324"/>
      <c r="AV110" s="324">
        <f t="shared" si="10"/>
        <v>0</v>
      </c>
      <c r="AW110" s="324">
        <f t="shared" si="14"/>
        <v>0</v>
      </c>
      <c r="AX110" s="413">
        <f t="shared" si="8"/>
        <v>0</v>
      </c>
      <c r="AY110" s="278">
        <f t="shared" si="11"/>
        <v>0</v>
      </c>
      <c r="AZ110" s="287">
        <f t="shared" si="12"/>
        <v>0</v>
      </c>
      <c r="BA110" s="287"/>
    </row>
    <row r="111" spans="45:53" s="245" customFormat="1" ht="15" x14ac:dyDescent="0.25">
      <c r="AS111" s="287" t="str">
        <f t="shared" si="9"/>
        <v/>
      </c>
      <c r="AT111" s="324">
        <f t="shared" si="13"/>
        <v>0</v>
      </c>
      <c r="AU111" s="324"/>
      <c r="AV111" s="324">
        <f t="shared" si="10"/>
        <v>0</v>
      </c>
      <c r="AW111" s="324">
        <f t="shared" si="14"/>
        <v>0</v>
      </c>
      <c r="AX111" s="413">
        <f>IF(ISNUMBER(AS114),AU111+AV111,AU111+AV111+AW111*$D$16)</f>
        <v>0</v>
      </c>
      <c r="AY111" s="278">
        <f t="shared" si="11"/>
        <v>0</v>
      </c>
      <c r="AZ111" s="287">
        <f t="shared" si="12"/>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S2:T3"/>
    <mergeCell ref="Z2:AB3"/>
    <mergeCell ref="B4:D5"/>
    <mergeCell ref="F4:G5"/>
    <mergeCell ref="T4:U4"/>
    <mergeCell ref="V4:W4"/>
    <mergeCell ref="T5:U5"/>
    <mergeCell ref="V5:W5"/>
    <mergeCell ref="B7:B11"/>
    <mergeCell ref="Q8:Q11"/>
    <mergeCell ref="T8:U8"/>
    <mergeCell ref="V8:W8"/>
    <mergeCell ref="C9:D9"/>
    <mergeCell ref="T9:U9"/>
    <mergeCell ref="V9:W9"/>
    <mergeCell ref="C6:D6"/>
    <mergeCell ref="I6:J6"/>
    <mergeCell ref="L6:M6"/>
    <mergeCell ref="T6:U6"/>
    <mergeCell ref="V6:W6"/>
    <mergeCell ref="Z9:AA9"/>
    <mergeCell ref="T10:U10"/>
    <mergeCell ref="V10:W10"/>
    <mergeCell ref="Z10:AA10"/>
    <mergeCell ref="G15:G16"/>
    <mergeCell ref="I15:I16"/>
    <mergeCell ref="J15:J16"/>
    <mergeCell ref="T11:U11"/>
    <mergeCell ref="V11:W11"/>
    <mergeCell ref="L12:L13"/>
    <mergeCell ref="M12:M13"/>
    <mergeCell ref="R12:R13"/>
    <mergeCell ref="S12:S13"/>
    <mergeCell ref="T12:U13"/>
    <mergeCell ref="V12:W13"/>
    <mergeCell ref="T15:U15"/>
    <mergeCell ref="C14:C15"/>
    <mergeCell ref="D14:D15"/>
    <mergeCell ref="Q14:Q15"/>
    <mergeCell ref="T14:U14"/>
    <mergeCell ref="V14:W14"/>
    <mergeCell ref="F15:F16"/>
    <mergeCell ref="C16:C18"/>
    <mergeCell ref="D16:D18"/>
    <mergeCell ref="T16:U16"/>
    <mergeCell ref="F17:F19"/>
    <mergeCell ref="G17:G19"/>
    <mergeCell ref="L17:M17"/>
    <mergeCell ref="T17:U17"/>
    <mergeCell ref="I18:I19"/>
    <mergeCell ref="C19:C20"/>
    <mergeCell ref="D19:D20"/>
    <mergeCell ref="T18:U19"/>
    <mergeCell ref="T20:U20"/>
    <mergeCell ref="T21:U21"/>
    <mergeCell ref="F23:F26"/>
    <mergeCell ref="Q23:Q27"/>
    <mergeCell ref="R23:S24"/>
    <mergeCell ref="U23:W24"/>
    <mergeCell ref="O39:P39"/>
    <mergeCell ref="B25:E28"/>
    <mergeCell ref="J18:J19"/>
    <mergeCell ref="R18:R19"/>
    <mergeCell ref="S18:S19"/>
    <mergeCell ref="D40:G40"/>
    <mergeCell ref="V18:V19"/>
    <mergeCell ref="W18:W19"/>
    <mergeCell ref="B14:B20"/>
    <mergeCell ref="V15:W15"/>
    <mergeCell ref="R40:T40"/>
    <mergeCell ref="F33:F36"/>
    <mergeCell ref="R35:V35"/>
    <mergeCell ref="B38:B40"/>
    <mergeCell ref="D38:F38"/>
    <mergeCell ref="H38:I38"/>
    <mergeCell ref="J38:N38"/>
    <mergeCell ref="O38:P38"/>
    <mergeCell ref="D39:F39"/>
    <mergeCell ref="H39:I39"/>
    <mergeCell ref="J39:N39"/>
  </mergeCells>
  <dataValidations count="3">
    <dataValidation type="list" allowBlank="1" showInputMessage="1" sqref="K9">
      <formula1>$C$32:$G$32</formula1>
    </dataValidation>
    <dataValidation type="list" allowBlank="1" showInputMessage="1" sqref="K15">
      <formula1>$C$23:$G$23</formula1>
    </dataValidation>
    <dataValidation type="list" allowBlank="1" showInputMessage="1" sqref="K16">
      <formula1>$C$30:$G$30</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[8]Parameters!#REF!</xm:f>
          </x14:formula1>
          <xm:sqref>J18:K19</xm:sqref>
        </x14:dataValidation>
        <x14:dataValidation type="list" allowBlank="1" showInputMessage="1">
          <x14:formula1>
            <xm:f>[8]Parameters!#REF!</xm:f>
          </x14:formula1>
          <xm:sqref>G10</xm:sqref>
        </x14:dataValidation>
        <x14:dataValidation type="list" allowBlank="1" showInputMessage="1">
          <x14:formula1>
            <xm:f>[8]Parameters!#REF!</xm:f>
          </x14:formula1>
          <xm:sqref>G8</xm:sqref>
        </x14:dataValidation>
        <x14:dataValidation type="list" allowBlank="1" showInputMessage="1">
          <x14:formula1>
            <xm:f>[8]Parameters!#REF!</xm:f>
          </x14:formula1>
          <xm:sqref>G20</xm:sqref>
        </x14:dataValidation>
        <x14:dataValidation type="list" allowBlank="1" showInputMessage="1">
          <x14:formula1>
            <xm:f>[8]Parameters!#REF!</xm:f>
          </x14:formula1>
          <xm:sqref>D7</xm:sqref>
        </x14:dataValidation>
        <x14:dataValidation type="list" allowBlank="1" showInputMessage="1">
          <x14:formula1>
            <xm:f>[8]Parameters!#REF!</xm:f>
          </x14:formula1>
          <xm:sqref>J20:K20</xm:sqref>
        </x14:dataValidation>
        <x14:dataValidation type="list" allowBlank="1" showInputMessage="1">
          <x14:formula1>
            <xm:f>[8]Parameters!#REF!</xm:f>
          </x14:formula1>
          <xm:sqref>J17:K17</xm:sqref>
        </x14:dataValidation>
        <x14:dataValidation type="list" allowBlank="1" showInputMessage="1">
          <x14:formula1>
            <xm:f>[8]Parameters!#REF!</xm:f>
          </x14:formula1>
          <xm:sqref>J10</xm:sqref>
        </x14:dataValidation>
        <x14:dataValidation type="list" allowBlank="1" showInputMessage="1">
          <x14:formula1>
            <xm:f>[8]Parameters!#REF!</xm:f>
          </x14:formula1>
          <xm:sqref>K7</xm:sqref>
        </x14:dataValidation>
        <x14:dataValidation type="list" allowBlank="1" showInputMessage="1">
          <x14:formula1>
            <xm:f>[8]Parameters!#REF!</xm:f>
          </x14:formula1>
          <xm:sqref>J7</xm:sqref>
        </x14:dataValidation>
        <x14:dataValidation type="list" allowBlank="1" showInputMessage="1">
          <x14:formula1>
            <xm:f>[8]Parameters!#REF!</xm:f>
          </x14:formula1>
          <xm:sqref>K10</xm:sqref>
        </x14:dataValidation>
        <x14:dataValidation type="list" allowBlank="1" showInputMessage="1">
          <x14:formula1>
            <xm:f>[8]Parameters!#REF!</xm:f>
          </x14:formula1>
          <xm:sqref>J8</xm:sqref>
        </x14:dataValidation>
        <x14:dataValidation type="list" allowBlank="1" showInputMessage="1">
          <x14:formula1>
            <xm:f>[8]Parameters!#REF!</xm:f>
          </x14:formula1>
          <xm:sqref>M8</xm:sqref>
        </x14:dataValidation>
        <x14:dataValidation type="list" allowBlank="1" showInputMessage="1">
          <x14:formula1>
            <xm:f>[8]Parameters!#REF!</xm:f>
          </x14:formula1>
          <xm:sqref>M9</xm:sqref>
        </x14:dataValidation>
        <x14:dataValidation type="list" allowBlank="1" showInputMessage="1">
          <x14:formula1>
            <xm:f>[8]Parameters!#REF!</xm:f>
          </x14:formula1>
          <xm:sqref>M11</xm:sqref>
        </x14:dataValidation>
        <x14:dataValidation type="list" allowBlank="1" showInputMessage="1">
          <x14:formula1>
            <xm:f>[8]Parameters!#REF!</xm:f>
          </x14:formula1>
          <xm:sqref>M12</xm:sqref>
        </x14:dataValidation>
        <x14:dataValidation type="list" allowBlank="1" showInputMessage="1">
          <x14:formula1>
            <xm:f>[8]Parameters!#REF!</xm:f>
          </x14:formula1>
          <xm:sqref>M14</xm:sqref>
        </x14:dataValidation>
        <x14:dataValidation type="list" allowBlank="1" showInputMessage="1">
          <x14:formula1>
            <xm:f>[8]Parameters!#REF!</xm:f>
          </x14:formula1>
          <xm:sqref>M15</xm:sqref>
        </x14:dataValidation>
        <x14:dataValidation type="list" allowBlank="1" showInputMessage="1">
          <x14:formula1>
            <xm:f>[8]Parameters!#REF!</xm:f>
          </x14:formula1>
          <xm:sqref>J11</xm:sqref>
        </x14:dataValidation>
        <x14:dataValidation type="list" allowBlank="1" showInputMessage="1">
          <x14:formula1>
            <xm:f>[8]Parameters!#REF!</xm:f>
          </x14:formula1>
          <xm:sqref>J14</xm:sqref>
        </x14:dataValidation>
        <x14:dataValidation type="list" allowBlank="1" showInputMessage="1">
          <x14:formula1>
            <xm:f>[8]Parameters!#REF!</xm:f>
          </x14:formula1>
          <xm:sqref>G17:G19</xm:sqref>
        </x14:dataValidation>
        <x14:dataValidation type="list" allowBlank="1" showInputMessage="1">
          <x14:formula1>
            <xm:f>[8]Parameters!#REF!</xm:f>
          </x14:formula1>
          <xm:sqref>G15:G16</xm:sqref>
        </x14:dataValidation>
        <x14:dataValidation type="list" allowBlank="1" showInputMessage="1">
          <x14:formula1>
            <xm:f>[8]Parameters!#REF!</xm:f>
          </x14:formula1>
          <xm:sqref>D14</xm:sqref>
        </x14:dataValidation>
        <x14:dataValidation type="list" allowBlank="1" showInputMessage="1">
          <x14:formula1>
            <xm:f>[8]Parameters!#REF!</xm:f>
          </x14:formula1>
          <xm:sqref>D10</xm:sqref>
        </x14:dataValidation>
        <x14:dataValidation type="list" allowBlank="1" showInputMessage="1">
          <x14:formula1>
            <xm:f>[8]Parameters!#REF!</xm:f>
          </x14:formula1>
          <xm:sqref>G11</xm:sqref>
        </x14:dataValidation>
        <x14:dataValidation type="list" allowBlank="1" showInputMessage="1">
          <x14:formula1>
            <xm:f>[8]Parameters!#REF!</xm:f>
          </x14:formula1>
          <xm:sqref>M20</xm:sqref>
        </x14:dataValidation>
        <x14:dataValidation type="list" allowBlank="1" showInputMessage="1">
          <x14:formula1>
            <xm:f>[8]Parameters!#REF!</xm:f>
          </x14:formula1>
          <xm:sqref>M18</xm:sqref>
        </x14:dataValidation>
        <x14:dataValidation type="list" allowBlank="1" showInputMessage="1">
          <x14:formula1>
            <xm:f>[8]Parameters!#REF!</xm:f>
          </x14:formula1>
          <xm:sqref>G14</xm:sqref>
        </x14:dataValidation>
        <x14:dataValidation type="list" allowBlank="1" showInputMessage="1">
          <x14:formula1>
            <xm:f>[8]Parameters!#REF!</xm:f>
          </x14:formula1>
          <xm:sqref>J9</xm:sqref>
        </x14:dataValidation>
        <x14:dataValidation type="list" allowBlank="1" showInputMessage="1">
          <x14:formula1>
            <xm:f>[8]Parameters!#REF!</xm:f>
          </x14:formula1>
          <xm:sqref>D16:D18</xm:sqref>
        </x14:dataValidation>
        <x14:dataValidation type="list" allowBlank="1" showInputMessage="1">
          <x14:formula1>
            <xm:f>[8]Parameters!#REF!</xm:f>
          </x14:formula1>
          <xm:sqref>M19</xm:sqref>
        </x14:dataValidation>
        <x14:dataValidation type="list" allowBlank="1" showInputMessage="1">
          <x14:formula1>
            <xm:f>[8]Parameters!#REF!</xm:f>
          </x14:formula1>
          <xm:sqref>G7</xm:sqref>
        </x14:dataValidation>
        <x14:dataValidation type="list" allowBlank="1" showInputMessage="1">
          <x14:formula1>
            <xm:f>[8]Parameters!#REF!</xm:f>
          </x14:formula1>
          <xm:sqref>D19:D20</xm:sqref>
        </x14:dataValidation>
        <x14:dataValidation type="list" allowBlank="1" showInputMessage="1">
          <x14:formula1>
            <xm:f>[8]Parameters!#REF!</xm:f>
          </x14:formula1>
          <xm:sqref>D11</xm:sqref>
        </x14:dataValidation>
        <x14:dataValidation type="list" allowBlank="1" showInputMessage="1">
          <x14:formula1>
            <xm:f>[8]Parameters!#REF!</xm:f>
          </x14:formula1>
          <xm:sqref>G9</xm:sqref>
        </x14:dataValidation>
        <x14:dataValidation type="list" allowBlank="1" showInputMessage="1">
          <x14:formula1>
            <xm:f>[8]Parameters!#REF!</xm:f>
          </x14:formula1>
          <xm:sqref>J15:J16</xm:sqref>
        </x14:dataValidation>
        <x14:dataValidation type="list" allowBlank="1" showInputMessage="1">
          <x14:formula1>
            <xm:f>[8]Parameters!#REF!</xm:f>
          </x14:formula1>
          <xm:sqref>M10</xm:sqref>
        </x14:dataValidation>
        <x14:dataValidation type="list" allowBlank="1" showInputMessage="1">
          <x14:formula1>
            <xm:f>[8]Parameters!#REF!</xm:f>
          </x14:formula1>
          <xm:sqref>M7</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1"/>
  <sheetViews>
    <sheetView topLeftCell="A7" workbookViewId="0">
      <selection activeCell="G8" sqref="G8"/>
    </sheetView>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49" width="8.85546875" style="232"/>
    <col min="50" max="50" width="15.7109375" style="232" bestFit="1" customWidth="1"/>
    <col min="51"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73"/>
      <c r="M4" s="245"/>
      <c r="N4" s="276"/>
      <c r="O4" s="276"/>
      <c r="P4" s="276"/>
      <c r="Q4" s="329"/>
      <c r="R4" s="487" t="s">
        <v>171</v>
      </c>
      <c r="S4" s="487"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Q39</f>
        <v>212.7659574468085</v>
      </c>
      <c r="AU4" s="277">
        <f>(1-$D$11)*AT4</f>
        <v>212.7659574468085</v>
      </c>
      <c r="AV4" s="277"/>
      <c r="AW4" s="231"/>
      <c r="AX4" s="413">
        <f t="shared" ref="AX4:AX35" si="0">IF(ISNUMBER(AS5),AU4+AV4,AU4+AV4+AW4*$D$16)</f>
        <v>212.7659574468085</v>
      </c>
      <c r="AY4" s="278">
        <f>IF(ISNUMBER(AS4),LN(AX4+$J$39)-LN($J$39),0)</f>
        <v>0.55626108810918407</v>
      </c>
      <c r="AZ4" s="231">
        <f>IF(ISNUMBER(AS4),AY4/(1+$D$7)^AS4,0)</f>
        <v>0.55626108810918407</v>
      </c>
      <c r="BA4" s="231"/>
    </row>
    <row r="5" spans="1:54" ht="15" customHeight="1" thickBot="1" x14ac:dyDescent="0.3">
      <c r="A5" s="245"/>
      <c r="B5" s="791"/>
      <c r="C5" s="791"/>
      <c r="D5" s="791"/>
      <c r="E5" s="332"/>
      <c r="F5" s="794"/>
      <c r="G5" s="795"/>
      <c r="H5" s="255"/>
      <c r="I5" s="255"/>
      <c r="J5" s="245"/>
      <c r="K5" s="245"/>
      <c r="L5" s="245"/>
      <c r="M5" s="245"/>
      <c r="N5" s="245"/>
      <c r="O5" s="245"/>
      <c r="P5" s="245"/>
      <c r="Q5" s="486" t="s">
        <v>189</v>
      </c>
      <c r="R5" s="492">
        <f>D39/(1+D7)^G14</f>
        <v>0.26900000000000002</v>
      </c>
      <c r="S5" s="492" t="e">
        <f>R5*(1-1/(1+D7)^G17)/(1-1/(1+D7))</f>
        <v>#DIV/0!</v>
      </c>
      <c r="T5" s="798" t="e">
        <f>S5*G11*G7*G9*G20*G8/G39</f>
        <v>#DIV/0!</v>
      </c>
      <c r="U5" s="798"/>
      <c r="V5" s="799">
        <f>$G$15*$G$10</f>
        <v>0</v>
      </c>
      <c r="W5" s="800"/>
      <c r="X5" s="237"/>
      <c r="Y5" s="245"/>
      <c r="Z5" s="354" t="s">
        <v>409</v>
      </c>
      <c r="AA5" s="355"/>
      <c r="AB5" s="356"/>
      <c r="AC5" s="246"/>
      <c r="AD5" s="237"/>
      <c r="AE5" s="243"/>
      <c r="AF5" s="245"/>
      <c r="AG5" s="245"/>
      <c r="AH5" s="245"/>
      <c r="AI5" s="245"/>
      <c r="AJ5" s="245"/>
      <c r="AK5" s="245"/>
      <c r="AL5" s="245"/>
      <c r="AM5" s="245"/>
      <c r="AN5" s="245"/>
      <c r="AO5" s="245"/>
      <c r="AP5" s="245"/>
      <c r="AQ5" s="245"/>
      <c r="AS5" s="231" t="str">
        <f t="shared" ref="AS5:AS12" si="1">IF(AS4&lt;$D$14,AS4+1,"")</f>
        <v/>
      </c>
      <c r="AT5" s="277">
        <f>AT4-AU4</f>
        <v>0</v>
      </c>
      <c r="AU5" s="277"/>
      <c r="AV5" s="277">
        <f t="shared" ref="AV5:AV12" si="2">$D$10*AT5</f>
        <v>0</v>
      </c>
      <c r="AW5" s="277">
        <f>AT5</f>
        <v>0</v>
      </c>
      <c r="AX5" s="413">
        <f t="shared" si="0"/>
        <v>0</v>
      </c>
      <c r="AY5" s="278">
        <f t="shared" ref="AY5:AY12" si="3">IF(ISNUMBER(AS5),LN(AX5+$J$39)-LN($J$39),0)</f>
        <v>0</v>
      </c>
      <c r="AZ5" s="231">
        <f t="shared" ref="AZ5:AZ12" si="4">IF(ISNUMBER(AS5),AY5/(1+$D$7)^AS5,0)</f>
        <v>0</v>
      </c>
      <c r="BA5" s="231">
        <f>SUM(AZ5:AZ111)</f>
        <v>0</v>
      </c>
      <c r="BB5" s="232">
        <f>SUM(AZ5:AZ23)</f>
        <v>0</v>
      </c>
    </row>
    <row r="6" spans="1:54" ht="14.1" customHeight="1" x14ac:dyDescent="0.25">
      <c r="A6" s="245"/>
      <c r="B6" s="241"/>
      <c r="C6" s="809" t="s">
        <v>12</v>
      </c>
      <c r="D6" s="809"/>
      <c r="E6" s="270"/>
      <c r="F6" s="347" t="s">
        <v>13</v>
      </c>
      <c r="G6" s="348"/>
      <c r="H6" s="271"/>
      <c r="I6" s="809" t="s">
        <v>39</v>
      </c>
      <c r="J6" s="809"/>
      <c r="K6" s="271"/>
      <c r="L6" s="810" t="s">
        <v>168</v>
      </c>
      <c r="M6" s="810"/>
      <c r="N6" s="242"/>
      <c r="O6" s="237"/>
      <c r="P6" s="245"/>
      <c r="Q6" s="486" t="s">
        <v>190</v>
      </c>
      <c r="R6" s="492">
        <f>(M15*M11)/(1+D7)^G14</f>
        <v>0</v>
      </c>
      <c r="S6" s="492" t="e">
        <f>R6*(1-1/(1+D7)^G17)/(1-1/(1+D7))</f>
        <v>#DIV/0!</v>
      </c>
      <c r="T6" s="798" t="e">
        <f>S6*M8*M9*M14*(V39/U39)*G11</f>
        <v>#DIV/0!</v>
      </c>
      <c r="U6" s="798"/>
      <c r="V6" s="799">
        <v>0</v>
      </c>
      <c r="W6" s="811"/>
      <c r="X6" s="237"/>
      <c r="Y6" s="245"/>
      <c r="Z6" s="357" t="s">
        <v>42</v>
      </c>
      <c r="AA6" s="358"/>
      <c r="AB6" s="359">
        <f>$G$7*$G$8*$G$9*G$20*$J7</f>
        <v>0</v>
      </c>
      <c r="AC6" s="246"/>
      <c r="AD6" s="610" t="s">
        <v>669</v>
      </c>
      <c r="AE6" s="611">
        <f>M19</f>
        <v>0</v>
      </c>
      <c r="AF6" s="245"/>
      <c r="AG6" s="245"/>
      <c r="AH6" s="245"/>
      <c r="AI6" s="245"/>
      <c r="AJ6" s="245"/>
      <c r="AK6" s="245"/>
      <c r="AL6" s="245"/>
      <c r="AM6" s="245"/>
      <c r="AN6" s="245"/>
      <c r="AO6" s="245"/>
      <c r="AP6" s="245"/>
      <c r="AQ6" s="245"/>
      <c r="AS6" s="231" t="str">
        <f t="shared" si="1"/>
        <v/>
      </c>
      <c r="AT6" s="277">
        <f t="shared" ref="AT6:AT9" si="5">IF(ISNUMBER(AS6),AW5,0)</f>
        <v>0</v>
      </c>
      <c r="AU6" s="277"/>
      <c r="AV6" s="277">
        <f t="shared" si="2"/>
        <v>0</v>
      </c>
      <c r="AW6" s="277">
        <f t="shared" ref="AW6:AW12" si="6">AT6</f>
        <v>0</v>
      </c>
      <c r="AX6" s="413">
        <f t="shared" si="0"/>
        <v>0</v>
      </c>
      <c r="AY6" s="278">
        <f t="shared" si="3"/>
        <v>0</v>
      </c>
      <c r="AZ6" s="231">
        <f t="shared" si="4"/>
        <v>0</v>
      </c>
      <c r="BA6" s="231"/>
    </row>
    <row r="7" spans="1:54" ht="26.1" customHeight="1" x14ac:dyDescent="0.25">
      <c r="A7" s="245"/>
      <c r="B7" s="801" t="s">
        <v>45</v>
      </c>
      <c r="C7" s="299" t="s">
        <v>0</v>
      </c>
      <c r="D7" s="139"/>
      <c r="E7" s="233"/>
      <c r="F7" s="319" t="s">
        <v>662</v>
      </c>
      <c r="G7" s="335"/>
      <c r="H7" s="235"/>
      <c r="I7" s="319" t="s">
        <v>8</v>
      </c>
      <c r="J7" s="378"/>
      <c r="K7" s="312"/>
      <c r="L7" s="319" t="s">
        <v>175</v>
      </c>
      <c r="M7" s="322"/>
      <c r="N7" s="243"/>
      <c r="O7" s="237"/>
      <c r="P7" s="245"/>
      <c r="Q7" s="246"/>
      <c r="R7" s="237"/>
      <c r="S7" s="237"/>
      <c r="T7" s="237"/>
      <c r="U7" s="316"/>
      <c r="V7" s="237"/>
      <c r="W7" s="243"/>
      <c r="X7" s="237"/>
      <c r="Y7" s="245"/>
      <c r="Z7" s="357" t="s">
        <v>32</v>
      </c>
      <c r="AA7" s="358"/>
      <c r="AB7" s="359">
        <f>$G$7*$G$8*$G$9*G$20*$J8</f>
        <v>0</v>
      </c>
      <c r="AC7" s="246"/>
      <c r="AD7" s="610" t="s">
        <v>411</v>
      </c>
      <c r="AE7" s="611">
        <f>G10</f>
        <v>0</v>
      </c>
      <c r="AF7" s="245"/>
      <c r="AG7" s="245"/>
      <c r="AH7" s="245"/>
      <c r="AI7" s="245"/>
      <c r="AJ7" s="245"/>
      <c r="AK7" s="245"/>
      <c r="AL7" s="245"/>
      <c r="AM7" s="245"/>
      <c r="AN7" s="245"/>
      <c r="AO7" s="245"/>
      <c r="AP7" s="245"/>
      <c r="AQ7" s="245"/>
      <c r="AS7" s="231" t="str">
        <f t="shared" si="1"/>
        <v/>
      </c>
      <c r="AT7" s="277">
        <f>IF(ISNUMBER(AS7),AW6,0)</f>
        <v>0</v>
      </c>
      <c r="AU7" s="277"/>
      <c r="AV7" s="277">
        <f t="shared" si="2"/>
        <v>0</v>
      </c>
      <c r="AW7" s="277">
        <f t="shared" si="6"/>
        <v>0</v>
      </c>
      <c r="AX7" s="413">
        <f t="shared" si="0"/>
        <v>0</v>
      </c>
      <c r="AY7" s="278">
        <f t="shared" si="3"/>
        <v>0</v>
      </c>
      <c r="AZ7" s="231">
        <f t="shared" si="4"/>
        <v>0</v>
      </c>
      <c r="BA7" s="231"/>
    </row>
    <row r="8" spans="1:54" ht="24.95" customHeight="1" thickBot="1" x14ac:dyDescent="0.3">
      <c r="A8" s="245"/>
      <c r="B8" s="801"/>
      <c r="C8" s="293"/>
      <c r="D8" s="293"/>
      <c r="E8" s="272"/>
      <c r="F8" s="321" t="s">
        <v>6</v>
      </c>
      <c r="G8" s="244"/>
      <c r="H8" s="236"/>
      <c r="I8" s="310" t="s">
        <v>9</v>
      </c>
      <c r="J8" s="376"/>
      <c r="K8" s="313"/>
      <c r="L8" s="310" t="s">
        <v>169</v>
      </c>
      <c r="M8" s="311"/>
      <c r="N8" s="243"/>
      <c r="O8" s="237"/>
      <c r="P8" s="245"/>
      <c r="Q8" s="802" t="s">
        <v>191</v>
      </c>
      <c r="R8" s="237"/>
      <c r="S8" s="491" t="s">
        <v>306</v>
      </c>
      <c r="T8" s="803" t="s">
        <v>34</v>
      </c>
      <c r="U8" s="803"/>
      <c r="V8" s="803" t="s">
        <v>152</v>
      </c>
      <c r="W8" s="804"/>
      <c r="X8" s="237"/>
      <c r="Y8" s="245"/>
      <c r="Z8" s="357" t="s">
        <v>38</v>
      </c>
      <c r="AA8" s="358"/>
      <c r="AB8" s="359">
        <f>$G$7*$G$8*$G$9*G$20</f>
        <v>0</v>
      </c>
      <c r="AC8" s="371"/>
      <c r="AD8" s="372" t="s">
        <v>668</v>
      </c>
      <c r="AE8" s="373" t="e">
        <f>(AE7*M19)/S5</f>
        <v>#DIV/0!</v>
      </c>
      <c r="AF8" s="245"/>
      <c r="AG8" s="245"/>
      <c r="AH8" s="245"/>
      <c r="AI8" s="245"/>
      <c r="AJ8" s="245"/>
      <c r="AK8" s="245"/>
      <c r="AL8" s="245"/>
      <c r="AM8" s="245"/>
      <c r="AN8" s="245"/>
      <c r="AO8" s="245"/>
      <c r="AP8" s="245"/>
      <c r="AQ8" s="245"/>
      <c r="AS8" s="231" t="str">
        <f t="shared" si="1"/>
        <v/>
      </c>
      <c r="AT8" s="277">
        <f t="shared" si="5"/>
        <v>0</v>
      </c>
      <c r="AU8" s="277"/>
      <c r="AV8" s="277">
        <f t="shared" si="2"/>
        <v>0</v>
      </c>
      <c r="AW8" s="277">
        <f t="shared" si="6"/>
        <v>0</v>
      </c>
      <c r="AX8" s="413">
        <f t="shared" si="0"/>
        <v>0</v>
      </c>
      <c r="AY8" s="278">
        <f t="shared" si="3"/>
        <v>0</v>
      </c>
      <c r="AZ8" s="231">
        <f t="shared" si="4"/>
        <v>0</v>
      </c>
      <c r="BA8" s="231"/>
    </row>
    <row r="9" spans="1:54" ht="33.75" x14ac:dyDescent="0.25">
      <c r="A9" s="245"/>
      <c r="B9" s="801"/>
      <c r="C9" s="805" t="s">
        <v>14</v>
      </c>
      <c r="D9" s="805"/>
      <c r="E9" s="233"/>
      <c r="F9" s="310" t="s">
        <v>146</v>
      </c>
      <c r="G9" s="311"/>
      <c r="H9" s="236"/>
      <c r="I9" s="310" t="s">
        <v>164</v>
      </c>
      <c r="J9" s="376"/>
      <c r="K9" s="313"/>
      <c r="L9" s="310" t="s">
        <v>170</v>
      </c>
      <c r="M9" s="311"/>
      <c r="N9" s="243"/>
      <c r="O9" s="237"/>
      <c r="P9" s="245"/>
      <c r="Q9" s="802"/>
      <c r="R9" s="252" t="s">
        <v>44</v>
      </c>
      <c r="S9" s="495" t="e">
        <f>J11*($T$5*AB14*J14*J7+$V$5*J7)</f>
        <v>#DIV/0!</v>
      </c>
      <c r="T9" s="806" t="e">
        <f>S9/(J17/J9)</f>
        <v>#DIV/0!</v>
      </c>
      <c r="U9" s="806"/>
      <c r="V9" s="807" t="e">
        <f>($G$10*$M$19)/T9</f>
        <v>#DIV/0!</v>
      </c>
      <c r="W9" s="808"/>
      <c r="X9" s="237"/>
      <c r="Y9" s="384"/>
      <c r="Z9" s="812" t="s">
        <v>288</v>
      </c>
      <c r="AA9" s="813"/>
      <c r="AB9" s="408"/>
      <c r="AC9" s="245"/>
      <c r="AE9" s="385"/>
      <c r="AF9" s="245"/>
      <c r="AG9" s="245"/>
      <c r="AH9" s="245"/>
      <c r="AI9" s="245"/>
      <c r="AJ9" s="245"/>
      <c r="AK9" s="245"/>
      <c r="AL9" s="245"/>
      <c r="AM9" s="245"/>
      <c r="AN9" s="245"/>
      <c r="AO9" s="245"/>
      <c r="AP9" s="245"/>
      <c r="AQ9" s="245"/>
      <c r="AS9" s="231" t="str">
        <f t="shared" si="1"/>
        <v/>
      </c>
      <c r="AT9" s="277">
        <f t="shared" si="5"/>
        <v>0</v>
      </c>
      <c r="AU9" s="277"/>
      <c r="AV9" s="277">
        <f t="shared" si="2"/>
        <v>0</v>
      </c>
      <c r="AW9" s="277">
        <f t="shared" si="6"/>
        <v>0</v>
      </c>
      <c r="AX9" s="413">
        <f t="shared" si="0"/>
        <v>0</v>
      </c>
      <c r="AY9" s="278">
        <f t="shared" si="3"/>
        <v>0</v>
      </c>
      <c r="AZ9" s="231">
        <f t="shared" si="4"/>
        <v>0</v>
      </c>
      <c r="BA9" s="231"/>
    </row>
    <row r="10" spans="1:54" ht="39.75" customHeight="1" x14ac:dyDescent="0.25">
      <c r="A10" s="245"/>
      <c r="B10" s="801"/>
      <c r="C10" s="290" t="s">
        <v>3</v>
      </c>
      <c r="D10" s="291"/>
      <c r="E10" s="283"/>
      <c r="F10" s="310" t="s">
        <v>323</v>
      </c>
      <c r="G10" s="466"/>
      <c r="H10" s="284"/>
      <c r="I10" s="310" t="s">
        <v>165</v>
      </c>
      <c r="J10" s="376"/>
      <c r="K10" s="313"/>
      <c r="L10" s="310" t="s">
        <v>184</v>
      </c>
      <c r="M10" s="311"/>
      <c r="N10" s="243"/>
      <c r="O10" s="237"/>
      <c r="P10" s="245"/>
      <c r="Q10" s="802"/>
      <c r="R10" s="252" t="s">
        <v>496</v>
      </c>
      <c r="S10" s="495" t="e">
        <f>J20*($T$5*AB15*J15*J8+$V$5*J8)</f>
        <v>#DIV/0!</v>
      </c>
      <c r="T10" s="806" t="e">
        <f>S10/(J18/J10)</f>
        <v>#DIV/0!</v>
      </c>
      <c r="U10" s="806"/>
      <c r="V10" s="807" t="e">
        <f>($G$10*$M$19)/T10</f>
        <v>#DIV/0!</v>
      </c>
      <c r="W10" s="808"/>
      <c r="X10" s="237"/>
      <c r="Y10" s="245"/>
      <c r="Z10" s="814" t="s">
        <v>450</v>
      </c>
      <c r="AA10" s="815"/>
      <c r="AB10" s="374"/>
      <c r="AC10" s="245"/>
      <c r="AD10" s="384"/>
      <c r="AE10" s="385"/>
      <c r="AF10" s="245"/>
      <c r="AG10" s="245"/>
      <c r="AH10" s="245"/>
      <c r="AI10" s="245"/>
      <c r="AJ10" s="245"/>
      <c r="AK10" s="245"/>
      <c r="AL10" s="245"/>
      <c r="AM10" s="245"/>
      <c r="AN10" s="245"/>
      <c r="AO10" s="245"/>
      <c r="AP10" s="245"/>
      <c r="AQ10" s="245"/>
      <c r="AS10" s="231" t="str">
        <f t="shared" si="1"/>
        <v/>
      </c>
      <c r="AT10" s="277">
        <f t="shared" ref="AT10:AT30" si="7">IF(ISNUMBER(AS10),AW9,0)</f>
        <v>0</v>
      </c>
      <c r="AU10" s="277"/>
      <c r="AV10" s="277">
        <f t="shared" si="2"/>
        <v>0</v>
      </c>
      <c r="AW10" s="277">
        <f t="shared" si="6"/>
        <v>0</v>
      </c>
      <c r="AX10" s="413">
        <f t="shared" si="0"/>
        <v>0</v>
      </c>
      <c r="AY10" s="278">
        <f t="shared" si="3"/>
        <v>0</v>
      </c>
      <c r="AZ10" s="231">
        <f t="shared" si="4"/>
        <v>0</v>
      </c>
      <c r="BA10" s="231"/>
      <c r="BB10" s="498"/>
    </row>
    <row r="11" spans="1:54" ht="33" customHeight="1" x14ac:dyDescent="0.25">
      <c r="A11" s="245"/>
      <c r="B11" s="801"/>
      <c r="C11" s="296" t="s">
        <v>5</v>
      </c>
      <c r="D11" s="297"/>
      <c r="E11" s="234"/>
      <c r="F11" s="310" t="s">
        <v>301</v>
      </c>
      <c r="G11" s="466"/>
      <c r="H11" s="237"/>
      <c r="I11" s="310" t="s">
        <v>322</v>
      </c>
      <c r="J11" s="376"/>
      <c r="K11" s="313"/>
      <c r="L11" s="310" t="s">
        <v>183</v>
      </c>
      <c r="M11" s="311"/>
      <c r="N11" s="243"/>
      <c r="O11" s="245"/>
      <c r="P11" s="245"/>
      <c r="Q11" s="802"/>
      <c r="R11" s="252" t="s">
        <v>38</v>
      </c>
      <c r="S11" s="495" t="s">
        <v>408</v>
      </c>
      <c r="T11" s="806" t="e">
        <f>M18*((1/S39)*(1/M20)*T5*AB16+(1/R39)*M19*G10)</f>
        <v>#DIV/0!</v>
      </c>
      <c r="U11" s="806" t="e">
        <f>(1/S39)*(1/M20)*T5+1/R39*(G10*S5)</f>
        <v>#DIV/0!</v>
      </c>
      <c r="V11" s="807" t="e">
        <f>($G$10*$M$19)/T11</f>
        <v>#DIV/0!</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t="str">
        <f t="shared" si="1"/>
        <v/>
      </c>
      <c r="AT11" s="277">
        <f t="shared" si="7"/>
        <v>0</v>
      </c>
      <c r="AU11" s="277"/>
      <c r="AV11" s="277">
        <f t="shared" si="2"/>
        <v>0</v>
      </c>
      <c r="AW11" s="277">
        <f t="shared" si="6"/>
        <v>0</v>
      </c>
      <c r="AX11" s="413">
        <f t="shared" si="0"/>
        <v>0</v>
      </c>
      <c r="AY11" s="278">
        <f t="shared" si="3"/>
        <v>0</v>
      </c>
      <c r="AZ11" s="231">
        <f t="shared" si="4"/>
        <v>0</v>
      </c>
      <c r="BA11" s="231"/>
    </row>
    <row r="12" spans="1:54"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t="e">
        <f>T6</f>
        <v>#DIV/0!</v>
      </c>
      <c r="T12" s="806" t="e">
        <f>M12*S12/(M7/M10)</f>
        <v>#DIV/0!</v>
      </c>
      <c r="U12" s="806"/>
      <c r="V12" s="831" t="s">
        <v>408</v>
      </c>
      <c r="W12" s="832"/>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t="str">
        <f t="shared" si="1"/>
        <v/>
      </c>
      <c r="AT12" s="277">
        <f t="shared" si="7"/>
        <v>0</v>
      </c>
      <c r="AU12" s="277"/>
      <c r="AV12" s="277">
        <f t="shared" si="2"/>
        <v>0</v>
      </c>
      <c r="AW12" s="277">
        <f t="shared" si="6"/>
        <v>0</v>
      </c>
      <c r="AX12" s="413">
        <f t="shared" si="0"/>
        <v>0</v>
      </c>
      <c r="AY12" s="278">
        <f t="shared" si="3"/>
        <v>0</v>
      </c>
      <c r="AZ12" s="231">
        <f t="shared" si="4"/>
        <v>0</v>
      </c>
      <c r="BA12" s="231"/>
    </row>
    <row r="13" spans="1:54"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245"/>
      <c r="AH13" s="245"/>
      <c r="AI13" s="245"/>
      <c r="AJ13" s="245"/>
      <c r="AK13" s="245"/>
      <c r="AL13" s="245"/>
      <c r="AM13" s="245"/>
      <c r="AN13" s="245"/>
      <c r="AO13" s="245"/>
      <c r="AP13" s="245"/>
      <c r="AQ13" s="245"/>
      <c r="AS13" s="231" t="str">
        <f t="shared" ref="AS13:AS18" si="8">IF(AS12&lt;$D$14,AS12+1,"")</f>
        <v/>
      </c>
      <c r="AT13" s="277">
        <f t="shared" si="7"/>
        <v>0</v>
      </c>
      <c r="AU13" s="277"/>
      <c r="AV13" s="277">
        <f t="shared" ref="AV13:AV30" si="9">$D$10*AT13</f>
        <v>0</v>
      </c>
      <c r="AW13" s="277">
        <f t="shared" ref="AW13:AW30" si="10">AT13</f>
        <v>0</v>
      </c>
      <c r="AX13" s="413">
        <f t="shared" si="0"/>
        <v>0</v>
      </c>
      <c r="AY13" s="278">
        <f t="shared" ref="AY13:AY44" si="11">IF(ISNUMBER(AS13),LN(AX13+$J$39)-LN($J$39),0)</f>
        <v>0</v>
      </c>
      <c r="AZ13" s="231">
        <f t="shared" ref="AZ13:AZ30" si="12">IF(ISNUMBER(AS13),AY13/(1+$D$7)^AS13,0)</f>
        <v>0</v>
      </c>
      <c r="BA13" s="231"/>
    </row>
    <row r="14" spans="1:54" ht="35.1" customHeight="1" x14ac:dyDescent="0.25">
      <c r="A14" s="245"/>
      <c r="B14" s="892" t="s">
        <v>214</v>
      </c>
      <c r="C14" s="836" t="s">
        <v>1</v>
      </c>
      <c r="D14" s="838"/>
      <c r="E14" s="233"/>
      <c r="F14" s="488" t="s">
        <v>560</v>
      </c>
      <c r="G14" s="528"/>
      <c r="H14" s="237"/>
      <c r="I14" s="298" t="s">
        <v>11</v>
      </c>
      <c r="J14" s="379"/>
      <c r="K14" s="237"/>
      <c r="L14" s="310" t="s">
        <v>178</v>
      </c>
      <c r="M14" s="311"/>
      <c r="N14" s="243"/>
      <c r="O14" s="237"/>
      <c r="P14" s="245"/>
      <c r="Q14" s="840" t="s">
        <v>410</v>
      </c>
      <c r="R14" s="487" t="s">
        <v>148</v>
      </c>
      <c r="S14" s="487" t="s">
        <v>35</v>
      </c>
      <c r="T14" s="796" t="s">
        <v>36</v>
      </c>
      <c r="U14" s="796"/>
      <c r="V14" s="796" t="s">
        <v>34</v>
      </c>
      <c r="W14" s="797"/>
      <c r="X14" s="237"/>
      <c r="Y14" s="245"/>
      <c r="Z14" s="357" t="s">
        <v>42</v>
      </c>
      <c r="AA14" s="358"/>
      <c r="AB14" s="362" t="e">
        <f>IF($AB$10="Yes",MAX(AB6,$AB$9),AB6)/AB6</f>
        <v>#DIV/0!</v>
      </c>
      <c r="AC14" s="245"/>
      <c r="AD14" s="245"/>
      <c r="AE14" s="245"/>
      <c r="AF14" s="245"/>
      <c r="AG14" s="245"/>
      <c r="AH14" s="245"/>
      <c r="AI14" s="245"/>
      <c r="AJ14" s="245"/>
      <c r="AK14" s="245"/>
      <c r="AL14" s="245"/>
      <c r="AM14" s="245"/>
      <c r="AN14" s="245"/>
      <c r="AO14" s="245"/>
      <c r="AP14" s="245"/>
      <c r="AQ14" s="245"/>
      <c r="AS14" s="231" t="str">
        <f t="shared" si="8"/>
        <v/>
      </c>
      <c r="AT14" s="277">
        <f t="shared" si="7"/>
        <v>0</v>
      </c>
      <c r="AU14" s="277"/>
      <c r="AV14" s="277">
        <f t="shared" si="9"/>
        <v>0</v>
      </c>
      <c r="AW14" s="277">
        <f t="shared" si="10"/>
        <v>0</v>
      </c>
      <c r="AX14" s="413">
        <f t="shared" si="0"/>
        <v>0</v>
      </c>
      <c r="AY14" s="278">
        <f t="shared" si="11"/>
        <v>0</v>
      </c>
      <c r="AZ14" s="231">
        <f t="shared" si="12"/>
        <v>0</v>
      </c>
      <c r="BA14" s="231"/>
    </row>
    <row r="15" spans="1:54" ht="21" customHeight="1" thickBot="1" x14ac:dyDescent="0.3">
      <c r="A15" s="245"/>
      <c r="B15" s="892"/>
      <c r="C15" s="837"/>
      <c r="D15" s="839"/>
      <c r="E15" s="234"/>
      <c r="F15" s="836" t="s">
        <v>2</v>
      </c>
      <c r="G15" s="917"/>
      <c r="H15" s="237"/>
      <c r="I15" s="818" t="s">
        <v>10</v>
      </c>
      <c r="J15" s="820"/>
      <c r="K15" s="314"/>
      <c r="L15" s="320" t="s">
        <v>181</v>
      </c>
      <c r="M15" s="334"/>
      <c r="N15" s="243"/>
      <c r="O15" s="237"/>
      <c r="P15" s="245"/>
      <c r="Q15" s="802"/>
      <c r="R15" s="489">
        <f>BA5</f>
        <v>0</v>
      </c>
      <c r="S15" s="489">
        <f>AZ4</f>
        <v>0.55626108810918407</v>
      </c>
      <c r="T15" s="835">
        <f>R15+S15</f>
        <v>0.55626108810918407</v>
      </c>
      <c r="U15" s="835"/>
      <c r="V15" s="806" t="e">
        <f>T15/(Model!Q39/Model!D19)</f>
        <v>#DIV/0!</v>
      </c>
      <c r="W15" s="893"/>
      <c r="X15" s="237"/>
      <c r="Y15" s="384"/>
      <c r="Z15" s="357" t="s">
        <v>32</v>
      </c>
      <c r="AA15" s="358"/>
      <c r="AB15" s="362" t="e">
        <f>IF($AB$10="Yes",MAX(AB7,$AB$9),AB7)/AB7</f>
        <v>#DIV/0!</v>
      </c>
      <c r="AC15" s="245"/>
      <c r="AD15" s="245"/>
      <c r="AE15" s="245"/>
      <c r="AF15" s="245"/>
      <c r="AG15" s="245"/>
      <c r="AH15" s="245"/>
      <c r="AI15" s="245"/>
      <c r="AJ15" s="245"/>
      <c r="AK15" s="245"/>
      <c r="AL15" s="245"/>
      <c r="AM15" s="245"/>
      <c r="AN15" s="245"/>
      <c r="AO15" s="245"/>
      <c r="AP15" s="245"/>
      <c r="AQ15" s="245"/>
      <c r="AS15" s="231" t="str">
        <f t="shared" si="8"/>
        <v/>
      </c>
      <c r="AT15" s="277">
        <f t="shared" si="7"/>
        <v>0</v>
      </c>
      <c r="AU15" s="277"/>
      <c r="AV15" s="277">
        <f t="shared" si="9"/>
        <v>0</v>
      </c>
      <c r="AW15" s="277">
        <f t="shared" si="10"/>
        <v>0</v>
      </c>
      <c r="AX15" s="413">
        <f t="shared" si="0"/>
        <v>0</v>
      </c>
      <c r="AY15" s="278">
        <f t="shared" si="11"/>
        <v>0</v>
      </c>
      <c r="AZ15" s="231">
        <f t="shared" si="12"/>
        <v>0</v>
      </c>
      <c r="BA15" s="231"/>
    </row>
    <row r="16" spans="1:54" ht="21" customHeight="1" thickBot="1" x14ac:dyDescent="0.3">
      <c r="A16" s="245"/>
      <c r="B16" s="892"/>
      <c r="C16" s="841" t="s">
        <v>507</v>
      </c>
      <c r="D16" s="842"/>
      <c r="E16" s="234"/>
      <c r="F16" s="837"/>
      <c r="G16" s="918"/>
      <c r="H16" s="237"/>
      <c r="I16" s="819"/>
      <c r="J16" s="821"/>
      <c r="K16" s="314"/>
      <c r="N16" s="243"/>
      <c r="O16" s="237"/>
      <c r="P16" s="245"/>
      <c r="Q16" s="485" t="s">
        <v>417</v>
      </c>
      <c r="R16" s="412"/>
      <c r="S16" s="490" t="s">
        <v>33</v>
      </c>
      <c r="T16" s="845" t="s">
        <v>32</v>
      </c>
      <c r="U16" s="846"/>
      <c r="V16" s="490" t="s">
        <v>38</v>
      </c>
      <c r="W16" s="427" t="s">
        <v>48</v>
      </c>
      <c r="X16" s="237"/>
      <c r="Y16" s="384"/>
      <c r="Z16" s="363" t="s">
        <v>38</v>
      </c>
      <c r="AA16" s="364"/>
      <c r="AB16" s="365" t="e">
        <f>IF($AB$10="Yes",MAX(AB8,$AB$9),AB8)/AB8</f>
        <v>#DIV/0!</v>
      </c>
      <c r="AC16" s="245"/>
      <c r="AD16" s="245"/>
      <c r="AE16" s="245"/>
      <c r="AF16" s="245"/>
      <c r="AG16" s="245"/>
      <c r="AH16" s="245"/>
      <c r="AI16" s="245"/>
      <c r="AJ16" s="245"/>
      <c r="AK16" s="245"/>
      <c r="AL16" s="245"/>
      <c r="AM16" s="245"/>
      <c r="AN16" s="245"/>
      <c r="AO16" s="245"/>
      <c r="AP16" s="245"/>
      <c r="AQ16" s="245"/>
      <c r="AS16" s="231" t="str">
        <f t="shared" si="8"/>
        <v/>
      </c>
      <c r="AT16" s="277">
        <f t="shared" si="7"/>
        <v>0</v>
      </c>
      <c r="AU16" s="277"/>
      <c r="AV16" s="277">
        <f t="shared" si="9"/>
        <v>0</v>
      </c>
      <c r="AW16" s="277">
        <f t="shared" si="10"/>
        <v>0</v>
      </c>
      <c r="AX16" s="413">
        <f t="shared" si="0"/>
        <v>0</v>
      </c>
      <c r="AY16" s="278">
        <f t="shared" si="11"/>
        <v>0</v>
      </c>
      <c r="AZ16" s="231">
        <f t="shared" si="12"/>
        <v>0</v>
      </c>
      <c r="BA16" s="231"/>
    </row>
    <row r="17" spans="1:54" ht="21" customHeight="1" x14ac:dyDescent="0.25">
      <c r="A17" s="245"/>
      <c r="B17" s="892"/>
      <c r="C17" s="836"/>
      <c r="D17" s="843"/>
      <c r="E17" s="234"/>
      <c r="F17" s="841" t="s">
        <v>216</v>
      </c>
      <c r="G17" s="916"/>
      <c r="H17" s="237"/>
      <c r="I17" s="294" t="s">
        <v>28</v>
      </c>
      <c r="J17" s="381"/>
      <c r="K17" s="315"/>
      <c r="L17" s="850" t="s">
        <v>38</v>
      </c>
      <c r="M17" s="850"/>
      <c r="N17" s="243"/>
      <c r="O17" s="237"/>
      <c r="P17" s="245"/>
      <c r="Q17" s="486"/>
      <c r="R17" s="410" t="s">
        <v>414</v>
      </c>
      <c r="S17" s="453" t="e">
        <f>$T9/$T$9</f>
        <v>#DIV/0!</v>
      </c>
      <c r="T17" s="851" t="e">
        <f>$T9/$T$10</f>
        <v>#DIV/0!</v>
      </c>
      <c r="U17" s="852"/>
      <c r="V17" s="453" t="e">
        <f>$T9/$T$11</f>
        <v>#DIV/0!</v>
      </c>
      <c r="W17" s="454" t="e">
        <f>$T9/$V$15</f>
        <v>#DIV/0!</v>
      </c>
      <c r="X17" s="237"/>
      <c r="Y17" s="384"/>
      <c r="Z17" s="245"/>
      <c r="AA17" s="245"/>
      <c r="AB17" s="245"/>
      <c r="AC17" s="245"/>
      <c r="AD17" s="245"/>
      <c r="AE17" s="245"/>
      <c r="AF17" s="245"/>
      <c r="AG17" s="245"/>
      <c r="AH17" s="245"/>
      <c r="AI17" s="245"/>
      <c r="AJ17" s="245"/>
      <c r="AK17" s="245"/>
      <c r="AL17" s="245"/>
      <c r="AM17" s="245"/>
      <c r="AN17" s="245"/>
      <c r="AO17" s="245"/>
      <c r="AP17" s="245"/>
      <c r="AQ17" s="245"/>
      <c r="AS17" s="231" t="str">
        <f t="shared" si="8"/>
        <v/>
      </c>
      <c r="AT17" s="277">
        <f t="shared" si="7"/>
        <v>0</v>
      </c>
      <c r="AU17" s="277"/>
      <c r="AV17" s="277">
        <f t="shared" si="9"/>
        <v>0</v>
      </c>
      <c r="AW17" s="277">
        <f t="shared" si="10"/>
        <v>0</v>
      </c>
      <c r="AX17" s="413">
        <f t="shared" si="0"/>
        <v>0</v>
      </c>
      <c r="AY17" s="278">
        <f t="shared" si="11"/>
        <v>0</v>
      </c>
      <c r="AZ17" s="231">
        <f t="shared" si="12"/>
        <v>0</v>
      </c>
      <c r="BA17" s="231"/>
    </row>
    <row r="18" spans="1:54" ht="18" customHeight="1" x14ac:dyDescent="0.25">
      <c r="A18" s="245"/>
      <c r="B18" s="892"/>
      <c r="C18" s="837"/>
      <c r="D18" s="844"/>
      <c r="E18" s="234"/>
      <c r="F18" s="836"/>
      <c r="G18" s="848"/>
      <c r="H18" s="237"/>
      <c r="I18" s="853" t="s">
        <v>7</v>
      </c>
      <c r="J18" s="882"/>
      <c r="K18" s="315"/>
      <c r="L18" s="310" t="s">
        <v>519</v>
      </c>
      <c r="M18" s="137"/>
      <c r="N18" s="243"/>
      <c r="O18" s="237"/>
      <c r="P18" s="245"/>
      <c r="Q18" s="486"/>
      <c r="R18" s="884" t="s">
        <v>415</v>
      </c>
      <c r="S18" s="885" t="e">
        <f>$T10/$T$9</f>
        <v>#DIV/0!</v>
      </c>
      <c r="T18" s="858" t="e">
        <f>$T10/$T$10</f>
        <v>#DIV/0!</v>
      </c>
      <c r="U18" s="859"/>
      <c r="V18" s="885" t="e">
        <f>$T10/$T$11</f>
        <v>#DIV/0!</v>
      </c>
      <c r="W18" s="890" t="e">
        <f>$T10/$V$15</f>
        <v>#DIV/0!</v>
      </c>
      <c r="X18" s="237"/>
      <c r="Y18" s="384"/>
      <c r="Z18" s="245"/>
      <c r="AA18" s="245"/>
      <c r="AB18" s="245"/>
      <c r="AC18" s="245"/>
      <c r="AD18" s="245"/>
      <c r="AE18" s="245"/>
      <c r="AF18" s="245"/>
      <c r="AG18" s="245"/>
      <c r="AH18" s="245"/>
      <c r="AI18" s="245"/>
      <c r="AJ18" s="245"/>
      <c r="AK18" s="245"/>
      <c r="AL18" s="245"/>
      <c r="AM18" s="245"/>
      <c r="AN18" s="245"/>
      <c r="AO18" s="245"/>
      <c r="AP18" s="245"/>
      <c r="AQ18" s="245"/>
      <c r="AS18" s="231" t="str">
        <f t="shared" si="8"/>
        <v/>
      </c>
      <c r="AT18" s="277">
        <f t="shared" si="7"/>
        <v>0</v>
      </c>
      <c r="AU18" s="277"/>
      <c r="AV18" s="277">
        <f t="shared" si="9"/>
        <v>0</v>
      </c>
      <c r="AW18" s="277">
        <f t="shared" si="10"/>
        <v>0</v>
      </c>
      <c r="AX18" s="413">
        <f t="shared" si="0"/>
        <v>0</v>
      </c>
      <c r="AY18" s="278">
        <f t="shared" si="11"/>
        <v>0</v>
      </c>
      <c r="AZ18" s="231">
        <f t="shared" si="12"/>
        <v>0</v>
      </c>
      <c r="BA18" s="231"/>
    </row>
    <row r="19" spans="1:54" ht="24" customHeight="1" x14ac:dyDescent="0.25">
      <c r="A19" s="245"/>
      <c r="B19" s="892"/>
      <c r="C19" s="836" t="s">
        <v>19</v>
      </c>
      <c r="D19" s="856"/>
      <c r="E19" s="234"/>
      <c r="F19" s="837"/>
      <c r="G19" s="849"/>
      <c r="H19" s="237"/>
      <c r="I19" s="854"/>
      <c r="J19" s="883"/>
      <c r="K19" s="315"/>
      <c r="L19" s="310" t="s">
        <v>520</v>
      </c>
      <c r="M19" s="506"/>
      <c r="N19" s="243"/>
      <c r="O19" s="237"/>
      <c r="P19" s="245"/>
      <c r="Q19" s="502"/>
      <c r="R19" s="884"/>
      <c r="S19" s="886"/>
      <c r="T19" s="860"/>
      <c r="U19" s="861"/>
      <c r="V19" s="886"/>
      <c r="W19" s="891"/>
      <c r="X19" s="237"/>
      <c r="Y19" s="384"/>
      <c r="Z19" s="245"/>
      <c r="AA19" s="245"/>
      <c r="AB19" s="245"/>
      <c r="AC19" s="245"/>
      <c r="AD19" s="245"/>
      <c r="AE19" s="245"/>
      <c r="AF19" s="245"/>
      <c r="AG19" s="245"/>
      <c r="AH19" s="245"/>
      <c r="AI19" s="245"/>
      <c r="AJ19" s="245"/>
      <c r="AK19" s="245"/>
      <c r="AL19" s="245"/>
      <c r="AM19" s="245"/>
      <c r="AN19" s="245"/>
      <c r="AO19" s="245"/>
      <c r="AP19" s="245"/>
      <c r="AQ19" s="245"/>
      <c r="AS19" s="231" t="str">
        <f t="shared" ref="AS19:AS36" si="13">IF(AS18&lt;$D$14,AS18+1,"")</f>
        <v/>
      </c>
      <c r="AT19" s="277">
        <f t="shared" si="7"/>
        <v>0</v>
      </c>
      <c r="AU19" s="277"/>
      <c r="AV19" s="277">
        <f t="shared" si="9"/>
        <v>0</v>
      </c>
      <c r="AW19" s="277">
        <f t="shared" si="10"/>
        <v>0</v>
      </c>
      <c r="AX19" s="413">
        <f t="shared" si="0"/>
        <v>0</v>
      </c>
      <c r="AY19" s="278">
        <f t="shared" si="11"/>
        <v>0</v>
      </c>
      <c r="AZ19" s="231">
        <f t="shared" si="12"/>
        <v>0</v>
      </c>
      <c r="BA19" s="231"/>
    </row>
    <row r="20" spans="1:54" ht="35.1" customHeight="1" x14ac:dyDescent="0.25">
      <c r="A20" s="245"/>
      <c r="B20" s="892"/>
      <c r="C20" s="855"/>
      <c r="D20" s="857"/>
      <c r="E20" s="234"/>
      <c r="F20" s="308" t="s">
        <v>199</v>
      </c>
      <c r="G20" s="306"/>
      <c r="H20" s="237"/>
      <c r="I20" s="305" t="s">
        <v>321</v>
      </c>
      <c r="J20" s="304"/>
      <c r="K20" s="314"/>
      <c r="L20" s="320" t="s">
        <v>433</v>
      </c>
      <c r="M20" s="334"/>
      <c r="N20" s="243"/>
      <c r="O20" s="237"/>
      <c r="P20" s="237"/>
      <c r="Q20" s="486"/>
      <c r="R20" s="410" t="s">
        <v>416</v>
      </c>
      <c r="S20" s="453" t="e">
        <f>$T11/$T$9</f>
        <v>#DIV/0!</v>
      </c>
      <c r="T20" s="851" t="e">
        <f>$T11/$T$10</f>
        <v>#DIV/0!</v>
      </c>
      <c r="U20" s="852"/>
      <c r="V20" s="453" t="e">
        <f>$T11/$T$11</f>
        <v>#DIV/0!</v>
      </c>
      <c r="W20" s="454" t="e">
        <f>$T11/$V$15</f>
        <v>#DIV/0!</v>
      </c>
      <c r="X20" s="237"/>
      <c r="Y20" s="245"/>
      <c r="Z20" s="245"/>
      <c r="AA20" s="245"/>
      <c r="AB20" s="245"/>
      <c r="AC20" s="245"/>
      <c r="AD20" s="245"/>
      <c r="AE20" s="245"/>
      <c r="AF20" s="245"/>
      <c r="AG20" s="245"/>
      <c r="AH20" s="245"/>
      <c r="AI20" s="245"/>
      <c r="AJ20" s="245"/>
      <c r="AK20" s="245"/>
      <c r="AL20" s="245"/>
      <c r="AM20" s="245"/>
      <c r="AN20" s="245"/>
      <c r="AO20" s="245"/>
      <c r="AP20" s="245"/>
      <c r="AQ20" s="245"/>
      <c r="AS20" s="231" t="str">
        <f t="shared" si="13"/>
        <v/>
      </c>
      <c r="AT20" s="277">
        <f t="shared" si="7"/>
        <v>0</v>
      </c>
      <c r="AU20" s="277"/>
      <c r="AV20" s="277">
        <f t="shared" si="9"/>
        <v>0</v>
      </c>
      <c r="AW20" s="277">
        <f t="shared" si="10"/>
        <v>0</v>
      </c>
      <c r="AX20" s="413">
        <f t="shared" si="0"/>
        <v>0</v>
      </c>
      <c r="AY20" s="278">
        <f t="shared" si="11"/>
        <v>0</v>
      </c>
      <c r="AZ20" s="231">
        <f t="shared" si="12"/>
        <v>0</v>
      </c>
      <c r="BA20" s="231"/>
    </row>
    <row r="21" spans="1:54" ht="21" customHeight="1" thickBot="1" x14ac:dyDescent="0.3">
      <c r="A21" s="245"/>
      <c r="B21" s="300"/>
      <c r="C21" s="238"/>
      <c r="D21" s="238"/>
      <c r="E21" s="238"/>
      <c r="F21" s="301"/>
      <c r="G21" s="302"/>
      <c r="H21" s="238"/>
      <c r="I21" s="238"/>
      <c r="J21" s="238"/>
      <c r="K21" s="238"/>
      <c r="L21" s="317"/>
      <c r="M21" s="238"/>
      <c r="N21" s="303"/>
      <c r="O21" s="237"/>
      <c r="P21" s="245"/>
      <c r="Q21" s="493"/>
      <c r="R21" s="411" t="s">
        <v>418</v>
      </c>
      <c r="S21" s="455" t="e">
        <f>$V15/$T$9</f>
        <v>#DIV/0!</v>
      </c>
      <c r="T21" s="862" t="e">
        <f>$V15/$T$10</f>
        <v>#DIV/0!</v>
      </c>
      <c r="U21" s="863"/>
      <c r="V21" s="455" t="e">
        <f>$V15/$T$11</f>
        <v>#DIV/0!</v>
      </c>
      <c r="W21" s="456" t="e">
        <f>$V15/$V$15</f>
        <v>#DIV/0!</v>
      </c>
      <c r="X21" s="237"/>
      <c r="Y21" s="245"/>
      <c r="Z21" s="245"/>
      <c r="AA21" s="245"/>
      <c r="AB21" s="245"/>
      <c r="AC21" s="245"/>
      <c r="AD21" s="245"/>
      <c r="AE21" s="245"/>
      <c r="AF21" s="245"/>
      <c r="AG21" s="245"/>
      <c r="AH21" s="245"/>
      <c r="AI21" s="245"/>
      <c r="AJ21" s="245"/>
      <c r="AK21" s="245"/>
      <c r="AL21" s="245"/>
      <c r="AM21" s="245"/>
      <c r="AN21" s="245"/>
      <c r="AO21" s="245"/>
      <c r="AP21" s="245"/>
      <c r="AQ21" s="245"/>
      <c r="AS21" s="231" t="str">
        <f t="shared" si="13"/>
        <v/>
      </c>
      <c r="AT21" s="277">
        <f t="shared" si="7"/>
        <v>0</v>
      </c>
      <c r="AU21" s="277"/>
      <c r="AV21" s="277">
        <f t="shared" si="9"/>
        <v>0</v>
      </c>
      <c r="AW21" s="277">
        <f t="shared" si="10"/>
        <v>0</v>
      </c>
      <c r="AX21" s="413">
        <f t="shared" si="0"/>
        <v>0</v>
      </c>
      <c r="AY21" s="278">
        <f t="shared" si="11"/>
        <v>0</v>
      </c>
      <c r="AZ21" s="231">
        <f t="shared" si="12"/>
        <v>0</v>
      </c>
      <c r="BA21" s="231"/>
    </row>
    <row r="22" spans="1:54"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245"/>
      <c r="AH22" s="245"/>
      <c r="AI22" s="245"/>
      <c r="AJ22" s="245"/>
      <c r="AK22" s="245"/>
      <c r="AL22" s="245"/>
      <c r="AM22" s="245"/>
      <c r="AN22" s="245"/>
      <c r="AO22" s="245"/>
      <c r="AP22" s="245"/>
      <c r="AQ22" s="245"/>
      <c r="AS22" s="231" t="str">
        <f t="shared" si="13"/>
        <v/>
      </c>
      <c r="AT22" s="277">
        <f t="shared" si="7"/>
        <v>0</v>
      </c>
      <c r="AU22" s="277"/>
      <c r="AV22" s="277">
        <f t="shared" si="9"/>
        <v>0</v>
      </c>
      <c r="AW22" s="277">
        <f t="shared" si="10"/>
        <v>0</v>
      </c>
      <c r="AX22" s="413">
        <f t="shared" si="0"/>
        <v>0</v>
      </c>
      <c r="AY22" s="278">
        <f t="shared" si="11"/>
        <v>0</v>
      </c>
      <c r="AZ22" s="231">
        <f t="shared" si="12"/>
        <v>0</v>
      </c>
      <c r="BA22" s="231"/>
    </row>
    <row r="23" spans="1:54" ht="10.5" customHeight="1" x14ac:dyDescent="0.25">
      <c r="A23" s="245"/>
      <c r="B23" s="245"/>
      <c r="C23" s="245"/>
      <c r="D23" s="245"/>
      <c r="E23" s="237"/>
      <c r="F23" s="864" t="s">
        <v>34</v>
      </c>
      <c r="G23" s="256" t="s">
        <v>33</v>
      </c>
      <c r="H23" s="257"/>
      <c r="I23" s="450" t="e">
        <f>T9</f>
        <v>#DIV/0!</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245"/>
      <c r="AH23" s="245"/>
      <c r="AI23" s="245"/>
      <c r="AJ23" s="245"/>
      <c r="AK23" s="245"/>
      <c r="AL23" s="245"/>
      <c r="AM23" s="245"/>
      <c r="AN23" s="245"/>
      <c r="AO23" s="245"/>
      <c r="AP23" s="245"/>
      <c r="AQ23" s="245"/>
      <c r="AS23" s="231" t="str">
        <f t="shared" si="13"/>
        <v/>
      </c>
      <c r="AT23" s="277">
        <f t="shared" si="7"/>
        <v>0</v>
      </c>
      <c r="AU23" s="277"/>
      <c r="AV23" s="277">
        <f t="shared" si="9"/>
        <v>0</v>
      </c>
      <c r="AW23" s="277">
        <f t="shared" si="10"/>
        <v>0</v>
      </c>
      <c r="AX23" s="413">
        <f t="shared" si="0"/>
        <v>0</v>
      </c>
      <c r="AY23" s="278">
        <f t="shared" si="11"/>
        <v>0</v>
      </c>
      <c r="AZ23" s="231">
        <f t="shared" si="12"/>
        <v>0</v>
      </c>
      <c r="BA23" s="231"/>
    </row>
    <row r="24" spans="1:54" ht="12" customHeight="1" thickBot="1" x14ac:dyDescent="0.3">
      <c r="A24" s="245"/>
      <c r="B24" s="245"/>
      <c r="C24" s="245"/>
      <c r="D24" s="245"/>
      <c r="E24" s="237"/>
      <c r="F24" s="865"/>
      <c r="G24" s="260" t="s">
        <v>32</v>
      </c>
      <c r="H24" s="261"/>
      <c r="I24" s="451" t="e">
        <f>T10</f>
        <v>#DIV/0!</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245"/>
      <c r="AH24" s="245"/>
      <c r="AI24" s="245"/>
      <c r="AJ24" s="245"/>
      <c r="AK24" s="245"/>
      <c r="AL24" s="245"/>
      <c r="AM24" s="245"/>
      <c r="AN24" s="245"/>
      <c r="AO24" s="245"/>
      <c r="AP24" s="245"/>
      <c r="AQ24" s="245"/>
      <c r="AS24" s="231" t="str">
        <f t="shared" si="13"/>
        <v/>
      </c>
      <c r="AT24" s="277">
        <f t="shared" si="7"/>
        <v>0</v>
      </c>
      <c r="AU24" s="277"/>
      <c r="AV24" s="277">
        <f t="shared" si="9"/>
        <v>0</v>
      </c>
      <c r="AW24" s="277">
        <f t="shared" si="10"/>
        <v>0</v>
      </c>
      <c r="AX24" s="413">
        <f t="shared" si="0"/>
        <v>0</v>
      </c>
      <c r="AY24" s="278">
        <f t="shared" si="11"/>
        <v>0</v>
      </c>
      <c r="AZ24" s="231">
        <f t="shared" si="12"/>
        <v>0</v>
      </c>
      <c r="BA24" s="231"/>
    </row>
    <row r="25" spans="1:54" ht="10.7" customHeight="1" x14ac:dyDescent="0.25">
      <c r="A25" s="245"/>
      <c r="B25" s="792" t="s">
        <v>188</v>
      </c>
      <c r="C25" s="878"/>
      <c r="D25" s="878"/>
      <c r="E25" s="878"/>
      <c r="F25" s="865"/>
      <c r="G25" s="260" t="s">
        <v>168</v>
      </c>
      <c r="H25" s="261"/>
      <c r="I25" s="451" t="e">
        <f>T12</f>
        <v>#DIV/0!</v>
      </c>
      <c r="J25" s="262"/>
      <c r="K25" s="263"/>
      <c r="L25" s="262"/>
      <c r="M25" s="262"/>
      <c r="N25" s="262"/>
      <c r="O25" s="262"/>
      <c r="P25" s="237"/>
      <c r="Q25" s="866"/>
      <c r="R25" s="344" t="s">
        <v>38</v>
      </c>
      <c r="S25" s="457" t="e">
        <f>(R39/S39)*T5</f>
        <v>#DIV/0!</v>
      </c>
      <c r="T25" s="458"/>
      <c r="U25" s="459"/>
      <c r="V25" s="459"/>
      <c r="W25" s="460"/>
      <c r="Y25" s="245"/>
      <c r="Z25" s="245"/>
      <c r="AA25" s="245"/>
      <c r="AB25" s="245"/>
      <c r="AC25" s="245"/>
      <c r="AD25" s="245"/>
      <c r="AE25" s="245"/>
      <c r="AF25" s="245"/>
      <c r="AG25" s="245"/>
      <c r="AH25" s="245"/>
      <c r="AI25" s="245"/>
      <c r="AJ25" s="245"/>
      <c r="AK25" s="245"/>
      <c r="AL25" s="245"/>
      <c r="AM25" s="245"/>
      <c r="AN25" s="245"/>
      <c r="AO25" s="245"/>
      <c r="AP25" s="245"/>
      <c r="AQ25" s="245"/>
      <c r="AS25" s="231" t="str">
        <f t="shared" si="13"/>
        <v/>
      </c>
      <c r="AT25" s="277">
        <f t="shared" si="7"/>
        <v>0</v>
      </c>
      <c r="AU25" s="277"/>
      <c r="AV25" s="277">
        <f t="shared" si="9"/>
        <v>0</v>
      </c>
      <c r="AW25" s="277">
        <f t="shared" si="10"/>
        <v>0</v>
      </c>
      <c r="AX25" s="413">
        <f t="shared" si="0"/>
        <v>0</v>
      </c>
      <c r="AY25" s="278">
        <f t="shared" si="11"/>
        <v>0</v>
      </c>
      <c r="AZ25" s="231">
        <f t="shared" si="12"/>
        <v>0</v>
      </c>
      <c r="BA25" s="231"/>
    </row>
    <row r="26" spans="1:54" ht="12.75" customHeight="1" x14ac:dyDescent="0.25">
      <c r="A26" s="245"/>
      <c r="B26" s="879"/>
      <c r="C26" s="880"/>
      <c r="D26" s="880"/>
      <c r="E26" s="880"/>
      <c r="F26" s="865"/>
      <c r="G26" s="260" t="s">
        <v>14</v>
      </c>
      <c r="H26" s="261"/>
      <c r="I26" s="499" t="e">
        <f>V15</f>
        <v>#DIV/0!</v>
      </c>
      <c r="J26" s="262"/>
      <c r="K26" s="263"/>
      <c r="L26" s="262"/>
      <c r="M26" s="262"/>
      <c r="N26" s="262"/>
      <c r="O26" s="262"/>
      <c r="P26" s="237"/>
      <c r="Q26" s="866"/>
      <c r="R26" s="344" t="s">
        <v>42</v>
      </c>
      <c r="S26" s="457" t="e">
        <f>T9*$R$39</f>
        <v>#DIV/0!</v>
      </c>
      <c r="T26" s="458"/>
      <c r="U26" s="459" t="s">
        <v>42</v>
      </c>
      <c r="V26" s="459"/>
      <c r="W26" s="460" t="e">
        <f>S26/S$25</f>
        <v>#DIV/0!</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3"/>
        <v/>
      </c>
      <c r="AT26" s="277">
        <f t="shared" si="7"/>
        <v>0</v>
      </c>
      <c r="AU26" s="277"/>
      <c r="AV26" s="277">
        <f t="shared" si="9"/>
        <v>0</v>
      </c>
      <c r="AW26" s="277">
        <f t="shared" si="10"/>
        <v>0</v>
      </c>
      <c r="AX26" s="413">
        <f t="shared" si="0"/>
        <v>0</v>
      </c>
      <c r="AY26" s="278">
        <f t="shared" si="11"/>
        <v>0</v>
      </c>
      <c r="AZ26" s="231">
        <f t="shared" si="12"/>
        <v>0</v>
      </c>
      <c r="BA26" s="231"/>
    </row>
    <row r="27" spans="1:54" ht="14.45" customHeight="1" thickBot="1" x14ac:dyDescent="0.3">
      <c r="A27" s="245"/>
      <c r="B27" s="879"/>
      <c r="C27" s="880"/>
      <c r="D27" s="880"/>
      <c r="E27" s="880"/>
      <c r="F27" s="264" t="s">
        <v>46</v>
      </c>
      <c r="G27" s="265"/>
      <c r="H27" s="265"/>
      <c r="I27" s="266" t="e">
        <f>V15*J39</f>
        <v>#DIV/0!</v>
      </c>
      <c r="J27" s="262"/>
      <c r="K27" s="263"/>
      <c r="L27" s="262"/>
      <c r="M27" s="262"/>
      <c r="N27" s="262"/>
      <c r="O27" s="262"/>
      <c r="P27" s="237"/>
      <c r="Q27" s="867"/>
      <c r="R27" s="344" t="s">
        <v>32</v>
      </c>
      <c r="S27" s="457" t="e">
        <f>T10*$R$39</f>
        <v>#DIV/0!</v>
      </c>
      <c r="T27" s="458"/>
      <c r="U27" s="459" t="s">
        <v>32</v>
      </c>
      <c r="V27" s="459"/>
      <c r="W27" s="460" t="e">
        <f>S27/S$25</f>
        <v>#DIV/0!</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3"/>
        <v/>
      </c>
      <c r="AT27" s="277">
        <f t="shared" si="7"/>
        <v>0</v>
      </c>
      <c r="AU27" s="277"/>
      <c r="AV27" s="277">
        <f t="shared" si="9"/>
        <v>0</v>
      </c>
      <c r="AW27" s="277">
        <f t="shared" si="10"/>
        <v>0</v>
      </c>
      <c r="AX27" s="413">
        <f t="shared" si="0"/>
        <v>0</v>
      </c>
      <c r="AY27" s="278">
        <f t="shared" si="11"/>
        <v>0</v>
      </c>
      <c r="AZ27" s="231">
        <f t="shared" si="12"/>
        <v>0</v>
      </c>
      <c r="BA27" s="231"/>
    </row>
    <row r="28" spans="1:54"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T12*$R$39</f>
        <v>#DIV/0!</v>
      </c>
      <c r="T28" s="458"/>
      <c r="U28" s="459" t="s">
        <v>168</v>
      </c>
      <c r="V28" s="459"/>
      <c r="W28" s="460" t="e">
        <f>S28/S$25</f>
        <v>#DIV/0!</v>
      </c>
      <c r="Y28" s="245"/>
      <c r="Z28" s="245"/>
      <c r="AA28" s="245"/>
      <c r="AB28" s="245"/>
      <c r="AC28" s="245"/>
      <c r="AD28" s="245"/>
      <c r="AE28" s="245"/>
      <c r="AF28" s="245"/>
      <c r="AG28" s="245"/>
      <c r="AH28" s="245"/>
      <c r="AI28" s="245"/>
      <c r="AJ28" s="245"/>
      <c r="AK28" s="245"/>
      <c r="AL28" s="245"/>
      <c r="AM28" s="245"/>
      <c r="AN28" s="245"/>
      <c r="AO28" s="245"/>
      <c r="AP28" s="245"/>
      <c r="AQ28" s="245"/>
      <c r="AS28" s="231" t="str">
        <f t="shared" si="13"/>
        <v/>
      </c>
      <c r="AT28" s="277">
        <f t="shared" si="7"/>
        <v>0</v>
      </c>
      <c r="AU28" s="277"/>
      <c r="AV28" s="277">
        <f t="shared" si="9"/>
        <v>0</v>
      </c>
      <c r="AW28" s="277">
        <f t="shared" si="10"/>
        <v>0</v>
      </c>
      <c r="AX28" s="413">
        <f t="shared" si="0"/>
        <v>0</v>
      </c>
      <c r="AY28" s="278">
        <f t="shared" si="11"/>
        <v>0</v>
      </c>
      <c r="AZ28" s="231">
        <f t="shared" si="12"/>
        <v>0</v>
      </c>
      <c r="BA28" s="231"/>
    </row>
    <row r="29" spans="1:54" ht="12.75" customHeight="1" x14ac:dyDescent="0.25">
      <c r="A29" s="245"/>
      <c r="B29" s="245"/>
      <c r="C29" s="245"/>
      <c r="D29" s="245"/>
      <c r="E29" s="237"/>
      <c r="F29" s="267" t="s">
        <v>283</v>
      </c>
      <c r="G29" s="452" t="e">
        <f>I23/I$26</f>
        <v>#DIV/0!</v>
      </c>
      <c r="H29" s="268" t="s">
        <v>40</v>
      </c>
      <c r="I29" s="265"/>
      <c r="J29" s="265"/>
      <c r="K29" s="269"/>
      <c r="L29" s="237"/>
      <c r="M29" s="237"/>
      <c r="N29" s="237"/>
      <c r="O29" s="262"/>
      <c r="P29" s="237"/>
      <c r="R29" s="344" t="s">
        <v>14</v>
      </c>
      <c r="S29" s="457" t="e">
        <f>V15*$R$39</f>
        <v>#DIV/0!</v>
      </c>
      <c r="T29" s="458"/>
      <c r="U29" s="459" t="s">
        <v>14</v>
      </c>
      <c r="V29" s="459"/>
      <c r="W29" s="460" t="e">
        <f>S29/S$25</f>
        <v>#DIV/0!</v>
      </c>
      <c r="Y29" s="245"/>
      <c r="Z29" s="245"/>
      <c r="AA29" s="245"/>
      <c r="AB29" s="245"/>
      <c r="AC29" s="245"/>
      <c r="AD29" s="245"/>
      <c r="AE29" s="245"/>
      <c r="AF29" s="245"/>
      <c r="AG29" s="245"/>
      <c r="AH29" s="245"/>
      <c r="AI29" s="245"/>
      <c r="AJ29" s="245"/>
      <c r="AK29" s="245"/>
      <c r="AL29" s="245"/>
      <c r="AM29" s="245"/>
      <c r="AN29" s="245"/>
      <c r="AO29" s="245"/>
      <c r="AP29" s="245"/>
      <c r="AQ29" s="245"/>
      <c r="AS29" s="231" t="str">
        <f t="shared" si="13"/>
        <v/>
      </c>
      <c r="AT29" s="277">
        <f t="shared" si="7"/>
        <v>0</v>
      </c>
      <c r="AU29" s="277"/>
      <c r="AV29" s="277">
        <f t="shared" si="9"/>
        <v>0</v>
      </c>
      <c r="AW29" s="277">
        <f t="shared" si="10"/>
        <v>0</v>
      </c>
      <c r="AX29" s="413">
        <f t="shared" si="0"/>
        <v>0</v>
      </c>
      <c r="AY29" s="278">
        <f t="shared" si="11"/>
        <v>0</v>
      </c>
      <c r="AZ29" s="231">
        <f t="shared" si="12"/>
        <v>0</v>
      </c>
      <c r="BA29" s="287"/>
      <c r="BB29" s="245"/>
    </row>
    <row r="30" spans="1:54" s="245" customFormat="1" ht="14.45" customHeight="1" x14ac:dyDescent="0.25">
      <c r="E30" s="237"/>
      <c r="F30" s="267" t="s">
        <v>41</v>
      </c>
      <c r="G30" s="452" t="e">
        <f t="shared" ref="G30:G31" si="14">I24/I$26</f>
        <v>#DIV/0!</v>
      </c>
      <c r="H30" s="268" t="s">
        <v>40</v>
      </c>
      <c r="I30" s="265"/>
      <c r="J30" s="265"/>
      <c r="K30" s="269"/>
      <c r="L30" s="237"/>
      <c r="M30" s="237"/>
      <c r="N30" s="237"/>
      <c r="O30" s="262"/>
      <c r="P30" s="237"/>
      <c r="R30" s="342" t="s">
        <v>522</v>
      </c>
      <c r="S30" s="461"/>
      <c r="T30" s="458"/>
      <c r="U30" s="458"/>
      <c r="V30" s="458"/>
      <c r="W30" s="462" t="s">
        <v>281</v>
      </c>
      <c r="AS30" s="231" t="str">
        <f t="shared" si="13"/>
        <v/>
      </c>
      <c r="AT30" s="277">
        <f t="shared" si="7"/>
        <v>0</v>
      </c>
      <c r="AU30" s="277"/>
      <c r="AV30" s="277">
        <f t="shared" si="9"/>
        <v>0</v>
      </c>
      <c r="AW30" s="277">
        <f t="shared" si="10"/>
        <v>0</v>
      </c>
      <c r="AX30" s="413">
        <f t="shared" si="0"/>
        <v>0</v>
      </c>
      <c r="AY30" s="278">
        <f t="shared" si="11"/>
        <v>0</v>
      </c>
      <c r="AZ30" s="231">
        <f t="shared" si="12"/>
        <v>0</v>
      </c>
      <c r="BA30" s="231"/>
      <c r="BB30" s="232"/>
    </row>
    <row r="31" spans="1:54" ht="13.7" customHeight="1" x14ac:dyDescent="0.25">
      <c r="A31" s="245"/>
      <c r="B31" s="245"/>
      <c r="C31" s="245"/>
      <c r="D31" s="245"/>
      <c r="E31" s="237"/>
      <c r="F31" s="267" t="s">
        <v>185</v>
      </c>
      <c r="G31" s="452" t="e">
        <f t="shared" si="14"/>
        <v>#DIV/0!</v>
      </c>
      <c r="H31" s="268" t="s">
        <v>40</v>
      </c>
      <c r="I31" s="265"/>
      <c r="J31" s="265"/>
      <c r="K31" s="269"/>
      <c r="L31" s="237"/>
      <c r="M31" s="237"/>
      <c r="N31" s="237"/>
      <c r="O31" s="262"/>
      <c r="P31" s="237"/>
      <c r="Q31" s="341"/>
      <c r="R31" s="343" t="s">
        <v>42</v>
      </c>
      <c r="S31" s="457" t="str">
        <f>IFERROR(IF(S26-S$25&gt;0,S26-S$25,"N/A"),"N/A")</f>
        <v>N/A</v>
      </c>
      <c r="T31" s="463"/>
      <c r="U31" s="459"/>
      <c r="V31" s="459"/>
      <c r="W31" s="464" t="str">
        <f>IF(AND(S31&lt;&gt;"N/A",S31&gt;=$W$35),R31,"Bednets")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t="str">
        <f t="shared" si="13"/>
        <v/>
      </c>
      <c r="AT31" s="277">
        <f t="shared" ref="AT31:AT69" si="15">IF(ISNUMBER(AS31),AW30,0)</f>
        <v>0</v>
      </c>
      <c r="AU31" s="277"/>
      <c r="AV31" s="277">
        <f t="shared" ref="AV31:AV68" si="16">$D$10*AT31</f>
        <v>0</v>
      </c>
      <c r="AW31" s="277">
        <f t="shared" ref="AW31:AW69" si="17">AT31</f>
        <v>0</v>
      </c>
      <c r="AX31" s="413">
        <f t="shared" si="0"/>
        <v>0</v>
      </c>
      <c r="AY31" s="278">
        <f t="shared" si="11"/>
        <v>0</v>
      </c>
      <c r="AZ31" s="231">
        <f t="shared" ref="AZ31:AZ68" si="18">IF(ISNUMBER(AS31),AY31/(1+$D$7)^AS31,0)</f>
        <v>0</v>
      </c>
      <c r="BA31" s="231"/>
    </row>
    <row r="32" spans="1:54"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IFERROR(IF(S27-S$25&gt;0,S27-S$25,"N/A"),"N/A")</f>
        <v>N/A</v>
      </c>
      <c r="T32" s="463"/>
      <c r="U32" s="459"/>
      <c r="V32" s="459"/>
      <c r="W32" s="464" t="str">
        <f>IF(AND(S32&lt;&gt;"N/A",S32&gt;=$W$35),R32,"Bednets")</f>
        <v>Bednets</v>
      </c>
      <c r="Y32" s="245"/>
      <c r="Z32" s="245"/>
      <c r="AA32" s="245"/>
      <c r="AB32" s="245"/>
      <c r="AC32" s="245"/>
      <c r="AD32" s="245"/>
      <c r="AE32" s="245"/>
      <c r="AF32" s="245"/>
      <c r="AG32" s="245"/>
      <c r="AH32" s="245"/>
      <c r="AI32" s="245"/>
      <c r="AJ32" s="245"/>
      <c r="AK32" s="245"/>
      <c r="AL32" s="245"/>
      <c r="AM32" s="245"/>
      <c r="AN32" s="245"/>
      <c r="AO32" s="245"/>
      <c r="AP32" s="245"/>
      <c r="AQ32" s="245"/>
      <c r="AS32" s="231" t="str">
        <f t="shared" si="13"/>
        <v/>
      </c>
      <c r="AT32" s="277">
        <f t="shared" si="15"/>
        <v>0</v>
      </c>
      <c r="AU32" s="277"/>
      <c r="AV32" s="277">
        <f t="shared" si="16"/>
        <v>0</v>
      </c>
      <c r="AW32" s="277">
        <f t="shared" si="17"/>
        <v>0</v>
      </c>
      <c r="AX32" s="413">
        <f t="shared" si="0"/>
        <v>0</v>
      </c>
      <c r="AY32" s="278">
        <f t="shared" si="11"/>
        <v>0</v>
      </c>
      <c r="AZ32" s="231">
        <f t="shared" si="18"/>
        <v>0</v>
      </c>
      <c r="BA32" s="231"/>
    </row>
    <row r="33" spans="1:53" ht="13.5" customHeight="1" x14ac:dyDescent="0.25">
      <c r="A33" s="245"/>
      <c r="B33" s="245"/>
      <c r="C33" s="245"/>
      <c r="D33" s="245"/>
      <c r="E33" s="237"/>
      <c r="F33" s="865" t="s">
        <v>152</v>
      </c>
      <c r="G33" s="260" t="s">
        <v>42</v>
      </c>
      <c r="H33" s="261"/>
      <c r="I33" s="428" t="e">
        <f>V9</f>
        <v>#DIV/0!</v>
      </c>
      <c r="J33" s="262"/>
      <c r="K33" s="263"/>
      <c r="L33" s="237"/>
      <c r="M33" s="237"/>
      <c r="N33" s="237"/>
      <c r="O33" s="262"/>
      <c r="P33" s="237"/>
      <c r="Q33" s="285"/>
      <c r="R33" s="343" t="s">
        <v>168</v>
      </c>
      <c r="S33" s="457" t="str">
        <f>IFERROR(IF(S28-S$25&gt;0,S28-S$25,"N/A"),"N/A")</f>
        <v>N/A</v>
      </c>
      <c r="T33" s="463"/>
      <c r="U33" s="459"/>
      <c r="V33" s="459"/>
      <c r="W33" s="464" t="str">
        <f>IF(AND(S33&lt;&gt;"N/A",S33&gt;=$W$35),R33,"Bednets")</f>
        <v>Bednets</v>
      </c>
      <c r="Y33" s="245"/>
      <c r="Z33" s="245"/>
      <c r="AA33" s="245"/>
      <c r="AB33" s="245"/>
      <c r="AC33" s="245"/>
      <c r="AD33" s="245"/>
      <c r="AE33" s="245"/>
      <c r="AF33" s="245"/>
      <c r="AG33" s="245"/>
      <c r="AH33" s="245"/>
      <c r="AI33" s="245"/>
      <c r="AJ33" s="245"/>
      <c r="AK33" s="245"/>
      <c r="AL33" s="245"/>
      <c r="AM33" s="245"/>
      <c r="AN33" s="245"/>
      <c r="AO33" s="245"/>
      <c r="AP33" s="245"/>
      <c r="AQ33" s="245"/>
      <c r="AS33" s="231" t="str">
        <f t="shared" si="13"/>
        <v/>
      </c>
      <c r="AT33" s="277">
        <f t="shared" si="15"/>
        <v>0</v>
      </c>
      <c r="AU33" s="277"/>
      <c r="AV33" s="277">
        <f t="shared" si="16"/>
        <v>0</v>
      </c>
      <c r="AW33" s="277">
        <f t="shared" si="17"/>
        <v>0</v>
      </c>
      <c r="AX33" s="413">
        <f t="shared" si="0"/>
        <v>0</v>
      </c>
      <c r="AY33" s="278">
        <f t="shared" si="11"/>
        <v>0</v>
      </c>
      <c r="AZ33" s="231">
        <f t="shared" si="18"/>
        <v>0</v>
      </c>
      <c r="BA33" s="231"/>
    </row>
    <row r="34" spans="1:53" ht="13.5" customHeight="1" x14ac:dyDescent="0.25">
      <c r="A34" s="245"/>
      <c r="B34" s="245"/>
      <c r="C34" s="245"/>
      <c r="D34" s="245"/>
      <c r="E34" s="237"/>
      <c r="F34" s="865"/>
      <c r="G34" s="260" t="s">
        <v>32</v>
      </c>
      <c r="H34" s="261"/>
      <c r="I34" s="428" t="e">
        <f>V10</f>
        <v>#DIV/0!</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245"/>
      <c r="AH34" s="245"/>
      <c r="AI34" s="245"/>
      <c r="AJ34" s="245"/>
      <c r="AK34" s="245"/>
      <c r="AL34" s="245"/>
      <c r="AM34" s="245"/>
      <c r="AN34" s="245"/>
      <c r="AO34" s="245"/>
      <c r="AP34" s="245"/>
      <c r="AQ34" s="245"/>
      <c r="AS34" s="231" t="str">
        <f t="shared" si="13"/>
        <v/>
      </c>
      <c r="AT34" s="277">
        <f t="shared" si="15"/>
        <v>0</v>
      </c>
      <c r="AU34" s="277"/>
      <c r="AV34" s="277">
        <f t="shared" si="16"/>
        <v>0</v>
      </c>
      <c r="AW34" s="277">
        <f t="shared" si="17"/>
        <v>0</v>
      </c>
      <c r="AX34" s="413">
        <f t="shared" si="0"/>
        <v>0</v>
      </c>
      <c r="AY34" s="278">
        <f t="shared" si="11"/>
        <v>0</v>
      </c>
      <c r="AZ34" s="231">
        <f t="shared" si="18"/>
        <v>0</v>
      </c>
      <c r="BA34" s="231"/>
    </row>
    <row r="35" spans="1:53" ht="13.7" customHeight="1" thickBot="1" x14ac:dyDescent="0.3">
      <c r="A35" s="245"/>
      <c r="B35" s="245"/>
      <c r="C35" s="245"/>
      <c r="D35" s="245"/>
      <c r="E35" s="245"/>
      <c r="F35" s="865"/>
      <c r="G35" s="260" t="s">
        <v>38</v>
      </c>
      <c r="H35" s="261"/>
      <c r="I35" s="428" t="e">
        <f>V11</f>
        <v>#DIV/0!</v>
      </c>
      <c r="J35" s="237"/>
      <c r="K35" s="243"/>
      <c r="L35" s="237"/>
      <c r="M35" s="237"/>
      <c r="N35" s="237"/>
      <c r="O35" s="237"/>
      <c r="P35" s="245"/>
      <c r="Q35" s="285"/>
      <c r="R35" s="898" t="s">
        <v>523</v>
      </c>
      <c r="S35" s="899"/>
      <c r="T35" s="899"/>
      <c r="U35" s="899"/>
      <c r="V35" s="899"/>
      <c r="W35" s="465">
        <f>$G$10*M19</f>
        <v>0</v>
      </c>
      <c r="X35" s="285"/>
      <c r="Y35" s="285"/>
      <c r="Z35" s="245"/>
      <c r="AA35" s="245"/>
      <c r="AB35" s="245"/>
      <c r="AC35" s="245"/>
      <c r="AD35" s="245"/>
      <c r="AE35" s="245"/>
      <c r="AF35" s="245"/>
      <c r="AG35" s="245"/>
      <c r="AH35" s="245"/>
      <c r="AI35" s="245"/>
      <c r="AJ35" s="245"/>
      <c r="AK35" s="245"/>
      <c r="AL35" s="245"/>
      <c r="AM35" s="245"/>
      <c r="AN35" s="245"/>
      <c r="AO35" s="245"/>
      <c r="AP35" s="245"/>
      <c r="AQ35" s="245"/>
      <c r="AS35" s="231" t="str">
        <f t="shared" si="13"/>
        <v/>
      </c>
      <c r="AT35" s="277">
        <f t="shared" si="15"/>
        <v>0</v>
      </c>
      <c r="AU35" s="277"/>
      <c r="AV35" s="277">
        <f t="shared" si="16"/>
        <v>0</v>
      </c>
      <c r="AW35" s="277">
        <f t="shared" si="17"/>
        <v>0</v>
      </c>
      <c r="AX35" s="413">
        <f t="shared" si="0"/>
        <v>0</v>
      </c>
      <c r="AY35" s="278">
        <f t="shared" si="11"/>
        <v>0</v>
      </c>
      <c r="AZ35" s="231">
        <f t="shared" si="18"/>
        <v>0</v>
      </c>
    </row>
    <row r="36" spans="1:53" ht="13.7" customHeight="1"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245"/>
      <c r="AH36" s="245"/>
      <c r="AI36" s="245"/>
      <c r="AJ36" s="245"/>
      <c r="AK36" s="245"/>
      <c r="AL36" s="245"/>
      <c r="AM36" s="245"/>
      <c r="AN36" s="245"/>
      <c r="AO36" s="245"/>
      <c r="AP36" s="245"/>
      <c r="AQ36" s="245"/>
      <c r="AS36" s="287" t="str">
        <f t="shared" si="13"/>
        <v/>
      </c>
      <c r="AT36" s="324">
        <f t="shared" si="15"/>
        <v>0</v>
      </c>
      <c r="AU36" s="324"/>
      <c r="AV36" s="324">
        <f t="shared" si="16"/>
        <v>0</v>
      </c>
      <c r="AW36" s="324">
        <f t="shared" si="17"/>
        <v>0</v>
      </c>
      <c r="AX36" s="413">
        <f t="shared" ref="AX36:AX67" si="19">IF(ISNUMBER(AS37),AU36+AV36,AU36+AV36+AW36*$D$16)</f>
        <v>0</v>
      </c>
      <c r="AY36" s="278">
        <f t="shared" si="11"/>
        <v>0</v>
      </c>
      <c r="AZ36" s="287">
        <f t="shared" si="18"/>
        <v>0</v>
      </c>
    </row>
    <row r="37" spans="1:53" ht="51" customHeight="1"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245"/>
      <c r="AH37" s="245"/>
      <c r="AI37" s="245"/>
      <c r="AJ37" s="245"/>
      <c r="AK37" s="245"/>
      <c r="AL37" s="245"/>
      <c r="AM37" s="245"/>
      <c r="AN37" s="245"/>
      <c r="AR37" s="231"/>
      <c r="AS37" s="287" t="str">
        <f t="shared" ref="AS37:AS68" si="20">IF(AS36&lt;$D$14,AS36+1,"")</f>
        <v/>
      </c>
      <c r="AT37" s="324">
        <f t="shared" si="15"/>
        <v>0</v>
      </c>
      <c r="AU37" s="324"/>
      <c r="AV37" s="324">
        <f t="shared" si="16"/>
        <v>0</v>
      </c>
      <c r="AW37" s="324">
        <f t="shared" si="17"/>
        <v>0</v>
      </c>
      <c r="AX37" s="413">
        <f t="shared" si="19"/>
        <v>0</v>
      </c>
      <c r="AY37" s="278">
        <f t="shared" si="11"/>
        <v>0</v>
      </c>
      <c r="AZ37" s="287">
        <f t="shared" si="18"/>
        <v>0</v>
      </c>
    </row>
    <row r="38" spans="1:53" ht="31.5" customHeight="1" x14ac:dyDescent="0.25">
      <c r="A38" s="245"/>
      <c r="B38" s="900" t="s">
        <v>29</v>
      </c>
      <c r="C38" s="247"/>
      <c r="D38" s="903" t="s">
        <v>24</v>
      </c>
      <c r="E38" s="904"/>
      <c r="F38" s="905"/>
      <c r="G38" s="249" t="s">
        <v>16</v>
      </c>
      <c r="H38" s="906" t="s">
        <v>27</v>
      </c>
      <c r="I38" s="907"/>
      <c r="J38" s="903" t="s">
        <v>26</v>
      </c>
      <c r="K38" s="904"/>
      <c r="L38" s="904"/>
      <c r="M38" s="904"/>
      <c r="N38" s="905"/>
      <c r="O38" s="903" t="s">
        <v>17</v>
      </c>
      <c r="P38" s="905"/>
      <c r="Q38" s="494" t="s">
        <v>18</v>
      </c>
      <c r="R38" s="280" t="s">
        <v>147</v>
      </c>
      <c r="S38" s="483" t="s">
        <v>555</v>
      </c>
      <c r="T38" s="484"/>
      <c r="U38" s="280" t="s">
        <v>179</v>
      </c>
      <c r="V38" s="282" t="s">
        <v>182</v>
      </c>
      <c r="W38" s="211"/>
      <c r="X38" s="211"/>
      <c r="Y38" s="245"/>
      <c r="Z38" s="245"/>
      <c r="AA38" s="245"/>
      <c r="AB38" s="245"/>
      <c r="AC38" s="245"/>
      <c r="AD38" s="245"/>
      <c r="AE38" s="245"/>
      <c r="AF38" s="245"/>
      <c r="AG38" s="245"/>
      <c r="AH38" s="245"/>
      <c r="AI38" s="245"/>
      <c r="AJ38" s="245"/>
      <c r="AK38" s="245"/>
      <c r="AL38" s="245"/>
      <c r="AM38" s="245"/>
      <c r="AN38" s="245"/>
      <c r="AR38" s="231"/>
      <c r="AS38" s="287" t="str">
        <f t="shared" si="20"/>
        <v/>
      </c>
      <c r="AT38" s="324">
        <f t="shared" si="15"/>
        <v>0</v>
      </c>
      <c r="AU38" s="324"/>
      <c r="AV38" s="324">
        <f t="shared" si="16"/>
        <v>0</v>
      </c>
      <c r="AW38" s="324">
        <f t="shared" si="17"/>
        <v>0</v>
      </c>
      <c r="AX38" s="413">
        <f t="shared" si="19"/>
        <v>0</v>
      </c>
      <c r="AY38" s="278">
        <f t="shared" si="11"/>
        <v>0</v>
      </c>
      <c r="AZ38" s="287">
        <f t="shared" si="18"/>
        <v>0</v>
      </c>
      <c r="BA38" s="231"/>
    </row>
    <row r="39" spans="1:53" ht="12" customHeight="1"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482"/>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S39" s="287" t="str">
        <f t="shared" si="20"/>
        <v/>
      </c>
      <c r="AT39" s="324">
        <f t="shared" si="15"/>
        <v>0</v>
      </c>
      <c r="AU39" s="324"/>
      <c r="AV39" s="324">
        <f t="shared" si="16"/>
        <v>0</v>
      </c>
      <c r="AW39" s="324">
        <f t="shared" si="17"/>
        <v>0</v>
      </c>
      <c r="AX39" s="413">
        <f t="shared" si="19"/>
        <v>0</v>
      </c>
      <c r="AY39" s="278">
        <f t="shared" si="11"/>
        <v>0</v>
      </c>
      <c r="AZ39" s="287">
        <f t="shared" si="18"/>
        <v>0</v>
      </c>
      <c r="BA39" s="231"/>
    </row>
    <row r="40" spans="1:53" ht="12" customHeight="1"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S40" s="287" t="str">
        <f t="shared" si="20"/>
        <v/>
      </c>
      <c r="AT40" s="324">
        <f t="shared" si="15"/>
        <v>0</v>
      </c>
      <c r="AU40" s="324"/>
      <c r="AV40" s="324">
        <f t="shared" si="16"/>
        <v>0</v>
      </c>
      <c r="AW40" s="324">
        <f t="shared" si="17"/>
        <v>0</v>
      </c>
      <c r="AX40" s="413">
        <f t="shared" si="19"/>
        <v>0</v>
      </c>
      <c r="AY40" s="278">
        <f t="shared" si="11"/>
        <v>0</v>
      </c>
      <c r="AZ40" s="287">
        <f t="shared" si="18"/>
        <v>0</v>
      </c>
      <c r="BA40" s="231"/>
    </row>
    <row r="41" spans="1:53" s="245" customFormat="1" ht="15" x14ac:dyDescent="0.25">
      <c r="J41" s="307"/>
      <c r="K41" s="307"/>
      <c r="L41" s="307"/>
      <c r="M41" s="307"/>
      <c r="Z41" s="237"/>
      <c r="AS41" s="287" t="str">
        <f t="shared" si="20"/>
        <v/>
      </c>
      <c r="AT41" s="324">
        <f t="shared" si="15"/>
        <v>0</v>
      </c>
      <c r="AU41" s="324"/>
      <c r="AV41" s="324">
        <f t="shared" si="16"/>
        <v>0</v>
      </c>
      <c r="AW41" s="324">
        <f t="shared" si="17"/>
        <v>0</v>
      </c>
      <c r="AX41" s="413">
        <f t="shared" si="19"/>
        <v>0</v>
      </c>
      <c r="AY41" s="278">
        <f t="shared" si="11"/>
        <v>0</v>
      </c>
      <c r="AZ41" s="287">
        <f t="shared" si="18"/>
        <v>0</v>
      </c>
      <c r="BA41" s="287"/>
    </row>
    <row r="42" spans="1:53" s="245" customFormat="1" ht="15" x14ac:dyDescent="0.25">
      <c r="R42" s="307"/>
      <c r="AS42" s="287" t="str">
        <f t="shared" si="20"/>
        <v/>
      </c>
      <c r="AT42" s="324">
        <f t="shared" si="15"/>
        <v>0</v>
      </c>
      <c r="AU42" s="324"/>
      <c r="AV42" s="324">
        <f t="shared" si="16"/>
        <v>0</v>
      </c>
      <c r="AW42" s="324">
        <f t="shared" si="17"/>
        <v>0</v>
      </c>
      <c r="AX42" s="413">
        <f t="shared" si="19"/>
        <v>0</v>
      </c>
      <c r="AY42" s="278">
        <f t="shared" si="11"/>
        <v>0</v>
      </c>
      <c r="AZ42" s="287">
        <f t="shared" si="18"/>
        <v>0</v>
      </c>
      <c r="BA42" s="287"/>
    </row>
    <row r="43" spans="1:53" s="245" customFormat="1" ht="15" x14ac:dyDescent="0.25">
      <c r="R43" s="307"/>
      <c r="AS43" s="287" t="str">
        <f t="shared" si="20"/>
        <v/>
      </c>
      <c r="AT43" s="324">
        <f t="shared" si="15"/>
        <v>0</v>
      </c>
      <c r="AU43" s="324"/>
      <c r="AV43" s="324">
        <f t="shared" si="16"/>
        <v>0</v>
      </c>
      <c r="AW43" s="324">
        <f t="shared" si="17"/>
        <v>0</v>
      </c>
      <c r="AX43" s="413">
        <f t="shared" si="19"/>
        <v>0</v>
      </c>
      <c r="AY43" s="278">
        <f t="shared" si="11"/>
        <v>0</v>
      </c>
      <c r="AZ43" s="287">
        <f t="shared" si="18"/>
        <v>0</v>
      </c>
      <c r="BA43" s="287"/>
    </row>
    <row r="44" spans="1:53" s="245" customFormat="1" ht="15" x14ac:dyDescent="0.25">
      <c r="R44" s="307"/>
      <c r="S44" s="407"/>
      <c r="AS44" s="287" t="str">
        <f t="shared" si="20"/>
        <v/>
      </c>
      <c r="AT44" s="324">
        <f t="shared" si="15"/>
        <v>0</v>
      </c>
      <c r="AU44" s="324"/>
      <c r="AV44" s="324">
        <f t="shared" si="16"/>
        <v>0</v>
      </c>
      <c r="AW44" s="324">
        <f t="shared" si="17"/>
        <v>0</v>
      </c>
      <c r="AX44" s="413">
        <f t="shared" si="19"/>
        <v>0</v>
      </c>
      <c r="AY44" s="278">
        <f t="shared" si="11"/>
        <v>0</v>
      </c>
      <c r="AZ44" s="287">
        <f t="shared" si="18"/>
        <v>0</v>
      </c>
      <c r="BA44" s="287"/>
    </row>
    <row r="45" spans="1:53" s="245" customFormat="1" ht="15" x14ac:dyDescent="0.25">
      <c r="R45" s="409"/>
      <c r="S45" s="384"/>
      <c r="AS45" s="287" t="str">
        <f t="shared" si="20"/>
        <v/>
      </c>
      <c r="AT45" s="324">
        <f t="shared" si="15"/>
        <v>0</v>
      </c>
      <c r="AU45" s="324"/>
      <c r="AV45" s="324">
        <f t="shared" si="16"/>
        <v>0</v>
      </c>
      <c r="AW45" s="324">
        <f t="shared" si="17"/>
        <v>0</v>
      </c>
      <c r="AX45" s="413">
        <f t="shared" si="19"/>
        <v>0</v>
      </c>
      <c r="AY45" s="278">
        <f t="shared" ref="AY45:AY66" si="21">IF(ISNUMBER(AS45),LN(AX45+$J$39)-LN($J$39),0)</f>
        <v>0</v>
      </c>
      <c r="AZ45" s="287">
        <f t="shared" si="18"/>
        <v>0</v>
      </c>
      <c r="BA45" s="287"/>
    </row>
    <row r="46" spans="1:53" s="245" customFormat="1" ht="15" x14ac:dyDescent="0.25">
      <c r="S46" s="384"/>
      <c r="AS46" s="287" t="str">
        <f t="shared" si="20"/>
        <v/>
      </c>
      <c r="AT46" s="324">
        <f t="shared" si="15"/>
        <v>0</v>
      </c>
      <c r="AU46" s="324"/>
      <c r="AV46" s="324">
        <f t="shared" si="16"/>
        <v>0</v>
      </c>
      <c r="AW46" s="324">
        <f t="shared" si="17"/>
        <v>0</v>
      </c>
      <c r="AX46" s="413">
        <f t="shared" si="19"/>
        <v>0</v>
      </c>
      <c r="AY46" s="278">
        <f t="shared" si="21"/>
        <v>0</v>
      </c>
      <c r="AZ46" s="287">
        <f t="shared" si="18"/>
        <v>0</v>
      </c>
      <c r="BA46" s="287"/>
    </row>
    <row r="47" spans="1:53" s="245" customFormat="1" ht="15" x14ac:dyDescent="0.25">
      <c r="S47" s="384"/>
      <c r="AS47" s="287" t="str">
        <f t="shared" si="20"/>
        <v/>
      </c>
      <c r="AT47" s="324">
        <f t="shared" si="15"/>
        <v>0</v>
      </c>
      <c r="AU47" s="324"/>
      <c r="AV47" s="324">
        <f t="shared" si="16"/>
        <v>0</v>
      </c>
      <c r="AW47" s="324">
        <f t="shared" si="17"/>
        <v>0</v>
      </c>
      <c r="AX47" s="413">
        <f t="shared" si="19"/>
        <v>0</v>
      </c>
      <c r="AY47" s="278">
        <f t="shared" si="21"/>
        <v>0</v>
      </c>
      <c r="AZ47" s="287">
        <f t="shared" si="18"/>
        <v>0</v>
      </c>
      <c r="BA47" s="287"/>
    </row>
    <row r="48" spans="1:53" s="245" customFormat="1" ht="15" x14ac:dyDescent="0.25">
      <c r="S48" s="384"/>
      <c r="AS48" s="287" t="str">
        <f t="shared" si="20"/>
        <v/>
      </c>
      <c r="AT48" s="324">
        <f t="shared" si="15"/>
        <v>0</v>
      </c>
      <c r="AU48" s="324"/>
      <c r="AV48" s="324">
        <f t="shared" si="16"/>
        <v>0</v>
      </c>
      <c r="AW48" s="324">
        <f t="shared" si="17"/>
        <v>0</v>
      </c>
      <c r="AX48" s="413">
        <f t="shared" si="19"/>
        <v>0</v>
      </c>
      <c r="AY48" s="278">
        <f t="shared" si="21"/>
        <v>0</v>
      </c>
      <c r="AZ48" s="287">
        <f t="shared" si="18"/>
        <v>0</v>
      </c>
      <c r="BA48" s="287"/>
    </row>
    <row r="49" spans="19:53" s="245" customFormat="1" ht="15" x14ac:dyDescent="0.25">
      <c r="S49" s="384"/>
      <c r="AS49" s="287" t="str">
        <f t="shared" si="20"/>
        <v/>
      </c>
      <c r="AT49" s="324">
        <f t="shared" si="15"/>
        <v>0</v>
      </c>
      <c r="AU49" s="324"/>
      <c r="AV49" s="324">
        <f t="shared" si="16"/>
        <v>0</v>
      </c>
      <c r="AW49" s="324">
        <f t="shared" si="17"/>
        <v>0</v>
      </c>
      <c r="AX49" s="413">
        <f t="shared" si="19"/>
        <v>0</v>
      </c>
      <c r="AY49" s="278">
        <f t="shared" si="21"/>
        <v>0</v>
      </c>
      <c r="AZ49" s="287">
        <f t="shared" si="18"/>
        <v>0</v>
      </c>
      <c r="BA49" s="287"/>
    </row>
    <row r="50" spans="19:53" s="245" customFormat="1" ht="15" x14ac:dyDescent="0.25">
      <c r="AS50" s="287" t="str">
        <f t="shared" si="20"/>
        <v/>
      </c>
      <c r="AT50" s="324">
        <f t="shared" si="15"/>
        <v>0</v>
      </c>
      <c r="AU50" s="324"/>
      <c r="AV50" s="324">
        <f t="shared" si="16"/>
        <v>0</v>
      </c>
      <c r="AW50" s="324">
        <f t="shared" si="17"/>
        <v>0</v>
      </c>
      <c r="AX50" s="413">
        <f t="shared" si="19"/>
        <v>0</v>
      </c>
      <c r="AY50" s="278">
        <f t="shared" si="21"/>
        <v>0</v>
      </c>
      <c r="AZ50" s="287">
        <f t="shared" si="18"/>
        <v>0</v>
      </c>
      <c r="BA50" s="287"/>
    </row>
    <row r="51" spans="19:53" s="245" customFormat="1" ht="15" x14ac:dyDescent="0.25">
      <c r="AS51" s="287" t="str">
        <f t="shared" si="20"/>
        <v/>
      </c>
      <c r="AT51" s="324">
        <f t="shared" si="15"/>
        <v>0</v>
      </c>
      <c r="AU51" s="324"/>
      <c r="AV51" s="324">
        <f t="shared" si="16"/>
        <v>0</v>
      </c>
      <c r="AW51" s="324">
        <f t="shared" si="17"/>
        <v>0</v>
      </c>
      <c r="AX51" s="413">
        <f t="shared" si="19"/>
        <v>0</v>
      </c>
      <c r="AY51" s="278">
        <f t="shared" si="21"/>
        <v>0</v>
      </c>
      <c r="AZ51" s="287">
        <f t="shared" si="18"/>
        <v>0</v>
      </c>
      <c r="BA51" s="287"/>
    </row>
    <row r="52" spans="19:53" s="245" customFormat="1" ht="15" x14ac:dyDescent="0.25">
      <c r="AS52" s="287" t="str">
        <f t="shared" si="20"/>
        <v/>
      </c>
      <c r="AT52" s="324">
        <f t="shared" si="15"/>
        <v>0</v>
      </c>
      <c r="AU52" s="324"/>
      <c r="AV52" s="324">
        <f t="shared" si="16"/>
        <v>0</v>
      </c>
      <c r="AW52" s="324">
        <f t="shared" si="17"/>
        <v>0</v>
      </c>
      <c r="AX52" s="413">
        <f t="shared" si="19"/>
        <v>0</v>
      </c>
      <c r="AY52" s="278">
        <f t="shared" si="21"/>
        <v>0</v>
      </c>
      <c r="AZ52" s="287">
        <f t="shared" si="18"/>
        <v>0</v>
      </c>
      <c r="BA52" s="287"/>
    </row>
    <row r="53" spans="19:53" s="245" customFormat="1" ht="15" x14ac:dyDescent="0.25">
      <c r="AS53" s="287" t="str">
        <f t="shared" si="20"/>
        <v/>
      </c>
      <c r="AT53" s="324">
        <f t="shared" si="15"/>
        <v>0</v>
      </c>
      <c r="AU53" s="324"/>
      <c r="AV53" s="324">
        <f t="shared" si="16"/>
        <v>0</v>
      </c>
      <c r="AW53" s="324">
        <f t="shared" si="17"/>
        <v>0</v>
      </c>
      <c r="AX53" s="413">
        <f t="shared" si="19"/>
        <v>0</v>
      </c>
      <c r="AY53" s="278">
        <f t="shared" si="21"/>
        <v>0</v>
      </c>
      <c r="AZ53" s="287">
        <f t="shared" si="18"/>
        <v>0</v>
      </c>
      <c r="BA53" s="287"/>
    </row>
    <row r="54" spans="19:53" s="245" customFormat="1" ht="15" x14ac:dyDescent="0.25">
      <c r="AS54" s="287" t="str">
        <f t="shared" si="20"/>
        <v/>
      </c>
      <c r="AT54" s="324">
        <f t="shared" si="15"/>
        <v>0</v>
      </c>
      <c r="AU54" s="324"/>
      <c r="AV54" s="324">
        <f t="shared" si="16"/>
        <v>0</v>
      </c>
      <c r="AW54" s="324">
        <f t="shared" si="17"/>
        <v>0</v>
      </c>
      <c r="AX54" s="413">
        <f t="shared" si="19"/>
        <v>0</v>
      </c>
      <c r="AY54" s="278">
        <f t="shared" si="21"/>
        <v>0</v>
      </c>
      <c r="AZ54" s="287">
        <f t="shared" si="18"/>
        <v>0</v>
      </c>
      <c r="BA54" s="287"/>
    </row>
    <row r="55" spans="19:53" s="245" customFormat="1" ht="15" x14ac:dyDescent="0.25">
      <c r="AS55" s="287" t="str">
        <f t="shared" si="20"/>
        <v/>
      </c>
      <c r="AT55" s="324">
        <f t="shared" si="15"/>
        <v>0</v>
      </c>
      <c r="AU55" s="324"/>
      <c r="AV55" s="324">
        <f t="shared" si="16"/>
        <v>0</v>
      </c>
      <c r="AW55" s="324">
        <f t="shared" si="17"/>
        <v>0</v>
      </c>
      <c r="AX55" s="413">
        <f t="shared" si="19"/>
        <v>0</v>
      </c>
      <c r="AY55" s="278">
        <f t="shared" si="21"/>
        <v>0</v>
      </c>
      <c r="AZ55" s="287">
        <f t="shared" si="18"/>
        <v>0</v>
      </c>
      <c r="BA55" s="287"/>
    </row>
    <row r="56" spans="19:53" s="245" customFormat="1" ht="15" x14ac:dyDescent="0.25">
      <c r="AS56" s="287" t="str">
        <f t="shared" si="20"/>
        <v/>
      </c>
      <c r="AT56" s="324">
        <f t="shared" si="15"/>
        <v>0</v>
      </c>
      <c r="AU56" s="324"/>
      <c r="AV56" s="324">
        <f t="shared" si="16"/>
        <v>0</v>
      </c>
      <c r="AW56" s="324">
        <f t="shared" si="17"/>
        <v>0</v>
      </c>
      <c r="AX56" s="413">
        <f t="shared" si="19"/>
        <v>0</v>
      </c>
      <c r="AY56" s="278">
        <f t="shared" si="21"/>
        <v>0</v>
      </c>
      <c r="AZ56" s="287">
        <f t="shared" si="18"/>
        <v>0</v>
      </c>
      <c r="BA56" s="287"/>
    </row>
    <row r="57" spans="19:53" s="245" customFormat="1" ht="15" x14ac:dyDescent="0.25">
      <c r="AS57" s="287" t="str">
        <f t="shared" si="20"/>
        <v/>
      </c>
      <c r="AT57" s="324">
        <f t="shared" si="15"/>
        <v>0</v>
      </c>
      <c r="AU57" s="324"/>
      <c r="AV57" s="324">
        <f t="shared" si="16"/>
        <v>0</v>
      </c>
      <c r="AW57" s="324">
        <f t="shared" si="17"/>
        <v>0</v>
      </c>
      <c r="AX57" s="413">
        <f t="shared" si="19"/>
        <v>0</v>
      </c>
      <c r="AY57" s="278">
        <f t="shared" si="21"/>
        <v>0</v>
      </c>
      <c r="AZ57" s="287">
        <f t="shared" si="18"/>
        <v>0</v>
      </c>
      <c r="BA57" s="287"/>
    </row>
    <row r="58" spans="19:53" s="245" customFormat="1" ht="15" x14ac:dyDescent="0.25">
      <c r="AS58" s="287" t="str">
        <f t="shared" si="20"/>
        <v/>
      </c>
      <c r="AT58" s="324">
        <f t="shared" si="15"/>
        <v>0</v>
      </c>
      <c r="AU58" s="324"/>
      <c r="AV58" s="324">
        <f t="shared" si="16"/>
        <v>0</v>
      </c>
      <c r="AW58" s="324">
        <f t="shared" si="17"/>
        <v>0</v>
      </c>
      <c r="AX58" s="413">
        <f t="shared" si="19"/>
        <v>0</v>
      </c>
      <c r="AY58" s="278">
        <f t="shared" si="21"/>
        <v>0</v>
      </c>
      <c r="AZ58" s="287">
        <f t="shared" si="18"/>
        <v>0</v>
      </c>
      <c r="BA58" s="287"/>
    </row>
    <row r="59" spans="19:53" s="245" customFormat="1" ht="15" x14ac:dyDescent="0.25">
      <c r="AS59" s="287" t="str">
        <f t="shared" si="20"/>
        <v/>
      </c>
      <c r="AT59" s="324">
        <f t="shared" si="15"/>
        <v>0</v>
      </c>
      <c r="AU59" s="324"/>
      <c r="AV59" s="324">
        <f t="shared" si="16"/>
        <v>0</v>
      </c>
      <c r="AW59" s="324">
        <f t="shared" si="17"/>
        <v>0</v>
      </c>
      <c r="AX59" s="413">
        <f t="shared" si="19"/>
        <v>0</v>
      </c>
      <c r="AY59" s="278">
        <f t="shared" si="21"/>
        <v>0</v>
      </c>
      <c r="AZ59" s="287">
        <f t="shared" si="18"/>
        <v>0</v>
      </c>
      <c r="BA59" s="287"/>
    </row>
    <row r="60" spans="19:53" s="245" customFormat="1" ht="15" x14ac:dyDescent="0.25">
      <c r="AS60" s="287" t="str">
        <f t="shared" si="20"/>
        <v/>
      </c>
      <c r="AT60" s="324">
        <f t="shared" si="15"/>
        <v>0</v>
      </c>
      <c r="AU60" s="324"/>
      <c r="AV60" s="324">
        <f t="shared" si="16"/>
        <v>0</v>
      </c>
      <c r="AW60" s="324">
        <f t="shared" si="17"/>
        <v>0</v>
      </c>
      <c r="AX60" s="413">
        <f t="shared" si="19"/>
        <v>0</v>
      </c>
      <c r="AY60" s="278">
        <f t="shared" si="21"/>
        <v>0</v>
      </c>
      <c r="AZ60" s="287">
        <f t="shared" si="18"/>
        <v>0</v>
      </c>
      <c r="BA60" s="287"/>
    </row>
    <row r="61" spans="19:53" s="245" customFormat="1" ht="15" x14ac:dyDescent="0.25">
      <c r="AS61" s="287" t="str">
        <f t="shared" si="20"/>
        <v/>
      </c>
      <c r="AT61" s="324">
        <f t="shared" si="15"/>
        <v>0</v>
      </c>
      <c r="AU61" s="324"/>
      <c r="AV61" s="324">
        <f t="shared" si="16"/>
        <v>0</v>
      </c>
      <c r="AW61" s="324">
        <f t="shared" si="17"/>
        <v>0</v>
      </c>
      <c r="AX61" s="413">
        <f t="shared" si="19"/>
        <v>0</v>
      </c>
      <c r="AY61" s="278">
        <f t="shared" si="21"/>
        <v>0</v>
      </c>
      <c r="AZ61" s="287">
        <f t="shared" si="18"/>
        <v>0</v>
      </c>
      <c r="BA61" s="287"/>
    </row>
    <row r="62" spans="19:53" s="245" customFormat="1" ht="15" x14ac:dyDescent="0.25">
      <c r="AS62" s="287" t="str">
        <f t="shared" si="20"/>
        <v/>
      </c>
      <c r="AT62" s="324">
        <f t="shared" si="15"/>
        <v>0</v>
      </c>
      <c r="AU62" s="324"/>
      <c r="AV62" s="324">
        <f t="shared" si="16"/>
        <v>0</v>
      </c>
      <c r="AW62" s="324">
        <f t="shared" si="17"/>
        <v>0</v>
      </c>
      <c r="AX62" s="413">
        <f t="shared" si="19"/>
        <v>0</v>
      </c>
      <c r="AY62" s="278">
        <f t="shared" si="21"/>
        <v>0</v>
      </c>
      <c r="AZ62" s="287">
        <f t="shared" si="18"/>
        <v>0</v>
      </c>
      <c r="BA62" s="287"/>
    </row>
    <row r="63" spans="19:53" s="245" customFormat="1" ht="15" x14ac:dyDescent="0.25">
      <c r="AS63" s="287" t="str">
        <f t="shared" si="20"/>
        <v/>
      </c>
      <c r="AT63" s="324">
        <f t="shared" si="15"/>
        <v>0</v>
      </c>
      <c r="AU63" s="324"/>
      <c r="AV63" s="324">
        <f t="shared" si="16"/>
        <v>0</v>
      </c>
      <c r="AW63" s="324">
        <f t="shared" si="17"/>
        <v>0</v>
      </c>
      <c r="AX63" s="413">
        <f t="shared" si="19"/>
        <v>0</v>
      </c>
      <c r="AY63" s="278">
        <f t="shared" si="21"/>
        <v>0</v>
      </c>
      <c r="AZ63" s="287">
        <f t="shared" si="18"/>
        <v>0</v>
      </c>
      <c r="BA63" s="287"/>
    </row>
    <row r="64" spans="19:53" s="245" customFormat="1" ht="15" x14ac:dyDescent="0.25">
      <c r="AS64" s="287" t="str">
        <f t="shared" si="20"/>
        <v/>
      </c>
      <c r="AT64" s="324">
        <f t="shared" si="15"/>
        <v>0</v>
      </c>
      <c r="AU64" s="324"/>
      <c r="AV64" s="324">
        <f t="shared" si="16"/>
        <v>0</v>
      </c>
      <c r="AW64" s="324">
        <f t="shared" si="17"/>
        <v>0</v>
      </c>
      <c r="AX64" s="413">
        <f t="shared" si="19"/>
        <v>0</v>
      </c>
      <c r="AY64" s="278">
        <f t="shared" si="21"/>
        <v>0</v>
      </c>
      <c r="AZ64" s="287">
        <f t="shared" si="18"/>
        <v>0</v>
      </c>
      <c r="BA64" s="287"/>
    </row>
    <row r="65" spans="45:53" s="245" customFormat="1" ht="15" x14ac:dyDescent="0.25">
      <c r="AS65" s="287" t="str">
        <f t="shared" si="20"/>
        <v/>
      </c>
      <c r="AT65" s="324">
        <f t="shared" si="15"/>
        <v>0</v>
      </c>
      <c r="AU65" s="324"/>
      <c r="AV65" s="324">
        <f t="shared" si="16"/>
        <v>0</v>
      </c>
      <c r="AW65" s="324">
        <f t="shared" si="17"/>
        <v>0</v>
      </c>
      <c r="AX65" s="413">
        <f t="shared" si="19"/>
        <v>0</v>
      </c>
      <c r="AY65" s="278">
        <f t="shared" si="21"/>
        <v>0</v>
      </c>
      <c r="AZ65" s="287">
        <f t="shared" si="18"/>
        <v>0</v>
      </c>
      <c r="BA65" s="287"/>
    </row>
    <row r="66" spans="45:53" s="245" customFormat="1" ht="15" x14ac:dyDescent="0.25">
      <c r="AS66" s="287" t="str">
        <f t="shared" si="20"/>
        <v/>
      </c>
      <c r="AT66" s="324">
        <f t="shared" si="15"/>
        <v>0</v>
      </c>
      <c r="AU66" s="324"/>
      <c r="AV66" s="324">
        <f t="shared" si="16"/>
        <v>0</v>
      </c>
      <c r="AW66" s="324">
        <f t="shared" si="17"/>
        <v>0</v>
      </c>
      <c r="AX66" s="413">
        <f t="shared" si="19"/>
        <v>0</v>
      </c>
      <c r="AY66" s="278">
        <f t="shared" si="21"/>
        <v>0</v>
      </c>
      <c r="AZ66" s="287">
        <f t="shared" si="18"/>
        <v>0</v>
      </c>
      <c r="BA66" s="287"/>
    </row>
    <row r="67" spans="45:53" s="245" customFormat="1" ht="15" x14ac:dyDescent="0.25">
      <c r="AS67" s="287" t="str">
        <f t="shared" si="20"/>
        <v/>
      </c>
      <c r="AT67" s="324">
        <f t="shared" si="15"/>
        <v>0</v>
      </c>
      <c r="AU67" s="324"/>
      <c r="AV67" s="324">
        <f t="shared" si="16"/>
        <v>0</v>
      </c>
      <c r="AW67" s="324">
        <f t="shared" si="17"/>
        <v>0</v>
      </c>
      <c r="AX67" s="413">
        <f t="shared" si="19"/>
        <v>0</v>
      </c>
      <c r="AY67" s="278">
        <f t="shared" ref="AY67:AY111" si="22">IF(ISNUMBER(AS67),LN(AX67+$J$39)-LN($J$39),0)</f>
        <v>0</v>
      </c>
      <c r="AZ67" s="287">
        <f t="shared" si="18"/>
        <v>0</v>
      </c>
      <c r="BA67" s="287"/>
    </row>
    <row r="68" spans="45:53" s="245" customFormat="1" ht="15" x14ac:dyDescent="0.25">
      <c r="AS68" s="287" t="str">
        <f t="shared" si="20"/>
        <v/>
      </c>
      <c r="AT68" s="324">
        <f t="shared" si="15"/>
        <v>0</v>
      </c>
      <c r="AU68" s="324"/>
      <c r="AV68" s="324">
        <f t="shared" si="16"/>
        <v>0</v>
      </c>
      <c r="AW68" s="324">
        <f t="shared" si="17"/>
        <v>0</v>
      </c>
      <c r="AX68" s="413">
        <f t="shared" ref="AX68:AX99" si="23">IF(ISNUMBER(AS69),AU68+AV68,AU68+AV68+AW68*$D$16)</f>
        <v>0</v>
      </c>
      <c r="AY68" s="278">
        <f t="shared" si="22"/>
        <v>0</v>
      </c>
      <c r="AZ68" s="287">
        <f t="shared" si="18"/>
        <v>0</v>
      </c>
      <c r="BA68" s="287"/>
    </row>
    <row r="69" spans="45:53" s="245" customFormat="1" ht="15" x14ac:dyDescent="0.25">
      <c r="AS69" s="287" t="str">
        <f t="shared" ref="AS69:AS100" si="24">IF(AS68&lt;$D$14,AS68+1,"")</f>
        <v/>
      </c>
      <c r="AT69" s="324">
        <f t="shared" si="15"/>
        <v>0</v>
      </c>
      <c r="AU69" s="324"/>
      <c r="AV69" s="324">
        <f t="shared" ref="AV69:AV111" si="25">$D$10*AT69</f>
        <v>0</v>
      </c>
      <c r="AW69" s="324">
        <f t="shared" si="17"/>
        <v>0</v>
      </c>
      <c r="AX69" s="413">
        <f t="shared" si="23"/>
        <v>0</v>
      </c>
      <c r="AY69" s="278">
        <f t="shared" si="22"/>
        <v>0</v>
      </c>
      <c r="AZ69" s="287">
        <f t="shared" ref="AZ69:AZ111" si="26">IF(ISNUMBER(AS69),AY69/(1+$D$7)^AS69,0)</f>
        <v>0</v>
      </c>
      <c r="BA69" s="287"/>
    </row>
    <row r="70" spans="45:53" s="245" customFormat="1" ht="15" x14ac:dyDescent="0.25">
      <c r="AS70" s="287" t="str">
        <f t="shared" si="24"/>
        <v/>
      </c>
      <c r="AT70" s="324">
        <f t="shared" ref="AT70:AT111" si="27">IF(ISNUMBER(AS70),AW69,0)</f>
        <v>0</v>
      </c>
      <c r="AU70" s="324"/>
      <c r="AV70" s="324">
        <f t="shared" si="25"/>
        <v>0</v>
      </c>
      <c r="AW70" s="324">
        <f t="shared" ref="AW70:AW111" si="28">AT70</f>
        <v>0</v>
      </c>
      <c r="AX70" s="413">
        <f t="shared" si="23"/>
        <v>0</v>
      </c>
      <c r="AY70" s="278">
        <f t="shared" si="22"/>
        <v>0</v>
      </c>
      <c r="AZ70" s="287">
        <f t="shared" si="26"/>
        <v>0</v>
      </c>
      <c r="BA70" s="287"/>
    </row>
    <row r="71" spans="45:53" s="245" customFormat="1" ht="15" x14ac:dyDescent="0.25">
      <c r="AS71" s="287" t="str">
        <f t="shared" si="24"/>
        <v/>
      </c>
      <c r="AT71" s="324">
        <f t="shared" si="27"/>
        <v>0</v>
      </c>
      <c r="AU71" s="324"/>
      <c r="AV71" s="324">
        <f t="shared" si="25"/>
        <v>0</v>
      </c>
      <c r="AW71" s="324">
        <f t="shared" si="28"/>
        <v>0</v>
      </c>
      <c r="AX71" s="413">
        <f t="shared" si="23"/>
        <v>0</v>
      </c>
      <c r="AY71" s="278">
        <f t="shared" si="22"/>
        <v>0</v>
      </c>
      <c r="AZ71" s="287">
        <f t="shared" si="26"/>
        <v>0</v>
      </c>
      <c r="BA71" s="287"/>
    </row>
    <row r="72" spans="45:53" s="245" customFormat="1" ht="15" x14ac:dyDescent="0.25">
      <c r="AS72" s="287" t="str">
        <f t="shared" si="24"/>
        <v/>
      </c>
      <c r="AT72" s="324">
        <f t="shared" si="27"/>
        <v>0</v>
      </c>
      <c r="AU72" s="324"/>
      <c r="AV72" s="324">
        <f t="shared" si="25"/>
        <v>0</v>
      </c>
      <c r="AW72" s="324">
        <f t="shared" si="28"/>
        <v>0</v>
      </c>
      <c r="AX72" s="413">
        <f t="shared" si="23"/>
        <v>0</v>
      </c>
      <c r="AY72" s="278">
        <f t="shared" si="22"/>
        <v>0</v>
      </c>
      <c r="AZ72" s="287">
        <f t="shared" si="26"/>
        <v>0</v>
      </c>
      <c r="BA72" s="287"/>
    </row>
    <row r="73" spans="45:53" s="245" customFormat="1" ht="15" x14ac:dyDescent="0.25">
      <c r="AS73" s="287" t="str">
        <f t="shared" si="24"/>
        <v/>
      </c>
      <c r="AT73" s="324">
        <f t="shared" si="27"/>
        <v>0</v>
      </c>
      <c r="AU73" s="324"/>
      <c r="AV73" s="324">
        <f t="shared" si="25"/>
        <v>0</v>
      </c>
      <c r="AW73" s="324">
        <f t="shared" si="28"/>
        <v>0</v>
      </c>
      <c r="AX73" s="413">
        <f t="shared" si="23"/>
        <v>0</v>
      </c>
      <c r="AY73" s="278">
        <f t="shared" si="22"/>
        <v>0</v>
      </c>
      <c r="AZ73" s="287">
        <f t="shared" si="26"/>
        <v>0</v>
      </c>
      <c r="BA73" s="287"/>
    </row>
    <row r="74" spans="45:53" s="245" customFormat="1" ht="15" x14ac:dyDescent="0.25">
      <c r="AS74" s="287" t="str">
        <f t="shared" si="24"/>
        <v/>
      </c>
      <c r="AT74" s="324">
        <f t="shared" si="27"/>
        <v>0</v>
      </c>
      <c r="AU74" s="324"/>
      <c r="AV74" s="324">
        <f t="shared" si="25"/>
        <v>0</v>
      </c>
      <c r="AW74" s="324">
        <f t="shared" si="28"/>
        <v>0</v>
      </c>
      <c r="AX74" s="413">
        <f t="shared" si="23"/>
        <v>0</v>
      </c>
      <c r="AY74" s="278">
        <f t="shared" si="22"/>
        <v>0</v>
      </c>
      <c r="AZ74" s="287">
        <f t="shared" si="26"/>
        <v>0</v>
      </c>
      <c r="BA74" s="287"/>
    </row>
    <row r="75" spans="45:53" s="245" customFormat="1" ht="15" x14ac:dyDescent="0.25">
      <c r="AS75" s="287" t="str">
        <f t="shared" si="24"/>
        <v/>
      </c>
      <c r="AT75" s="324">
        <f t="shared" si="27"/>
        <v>0</v>
      </c>
      <c r="AU75" s="324"/>
      <c r="AV75" s="324">
        <f t="shared" si="25"/>
        <v>0</v>
      </c>
      <c r="AW75" s="324">
        <f t="shared" si="28"/>
        <v>0</v>
      </c>
      <c r="AX75" s="413">
        <f t="shared" si="23"/>
        <v>0</v>
      </c>
      <c r="AY75" s="278">
        <f t="shared" si="22"/>
        <v>0</v>
      </c>
      <c r="AZ75" s="287">
        <f t="shared" si="26"/>
        <v>0</v>
      </c>
      <c r="BA75" s="287"/>
    </row>
    <row r="76" spans="45:53" s="245" customFormat="1" ht="15" x14ac:dyDescent="0.25">
      <c r="AS76" s="287" t="str">
        <f t="shared" si="24"/>
        <v/>
      </c>
      <c r="AT76" s="324">
        <f t="shared" si="27"/>
        <v>0</v>
      </c>
      <c r="AU76" s="324"/>
      <c r="AV76" s="324">
        <f t="shared" si="25"/>
        <v>0</v>
      </c>
      <c r="AW76" s="324">
        <f t="shared" si="28"/>
        <v>0</v>
      </c>
      <c r="AX76" s="413">
        <f t="shared" si="23"/>
        <v>0</v>
      </c>
      <c r="AY76" s="278">
        <f t="shared" si="22"/>
        <v>0</v>
      </c>
      <c r="AZ76" s="287">
        <f t="shared" si="26"/>
        <v>0</v>
      </c>
      <c r="BA76" s="287"/>
    </row>
    <row r="77" spans="45:53" s="245" customFormat="1" ht="15" x14ac:dyDescent="0.25">
      <c r="AS77" s="287" t="str">
        <f t="shared" si="24"/>
        <v/>
      </c>
      <c r="AT77" s="324">
        <f t="shared" si="27"/>
        <v>0</v>
      </c>
      <c r="AU77" s="324"/>
      <c r="AV77" s="324">
        <f t="shared" si="25"/>
        <v>0</v>
      </c>
      <c r="AW77" s="324">
        <f t="shared" si="28"/>
        <v>0</v>
      </c>
      <c r="AX77" s="413">
        <f t="shared" si="23"/>
        <v>0</v>
      </c>
      <c r="AY77" s="278">
        <f t="shared" si="22"/>
        <v>0</v>
      </c>
      <c r="AZ77" s="287">
        <f t="shared" si="26"/>
        <v>0</v>
      </c>
      <c r="BA77" s="287"/>
    </row>
    <row r="78" spans="45:53" s="245" customFormat="1" ht="15" x14ac:dyDescent="0.25">
      <c r="AS78" s="287" t="str">
        <f t="shared" si="24"/>
        <v/>
      </c>
      <c r="AT78" s="324">
        <f t="shared" si="27"/>
        <v>0</v>
      </c>
      <c r="AU78" s="324"/>
      <c r="AV78" s="324">
        <f t="shared" si="25"/>
        <v>0</v>
      </c>
      <c r="AW78" s="324">
        <f t="shared" si="28"/>
        <v>0</v>
      </c>
      <c r="AX78" s="413">
        <f t="shared" si="23"/>
        <v>0</v>
      </c>
      <c r="AY78" s="278">
        <f t="shared" si="22"/>
        <v>0</v>
      </c>
      <c r="AZ78" s="287">
        <f t="shared" si="26"/>
        <v>0</v>
      </c>
      <c r="BA78" s="287"/>
    </row>
    <row r="79" spans="45:53" s="245" customFormat="1" ht="15" x14ac:dyDescent="0.25">
      <c r="AS79" s="287" t="str">
        <f t="shared" si="24"/>
        <v/>
      </c>
      <c r="AT79" s="324">
        <f t="shared" si="27"/>
        <v>0</v>
      </c>
      <c r="AU79" s="324"/>
      <c r="AV79" s="324">
        <f t="shared" si="25"/>
        <v>0</v>
      </c>
      <c r="AW79" s="324">
        <f t="shared" si="28"/>
        <v>0</v>
      </c>
      <c r="AX79" s="413">
        <f t="shared" si="23"/>
        <v>0</v>
      </c>
      <c r="AY79" s="278">
        <f t="shared" si="22"/>
        <v>0</v>
      </c>
      <c r="AZ79" s="287">
        <f t="shared" si="26"/>
        <v>0</v>
      </c>
      <c r="BA79" s="287"/>
    </row>
    <row r="80" spans="45:53" s="245" customFormat="1" ht="15" x14ac:dyDescent="0.25">
      <c r="AS80" s="287" t="str">
        <f t="shared" si="24"/>
        <v/>
      </c>
      <c r="AT80" s="324">
        <f t="shared" si="27"/>
        <v>0</v>
      </c>
      <c r="AU80" s="324"/>
      <c r="AV80" s="324">
        <f t="shared" si="25"/>
        <v>0</v>
      </c>
      <c r="AW80" s="324">
        <f t="shared" si="28"/>
        <v>0</v>
      </c>
      <c r="AX80" s="413">
        <f t="shared" si="23"/>
        <v>0</v>
      </c>
      <c r="AY80" s="278">
        <f t="shared" si="22"/>
        <v>0</v>
      </c>
      <c r="AZ80" s="287">
        <f t="shared" si="26"/>
        <v>0</v>
      </c>
      <c r="BA80" s="287"/>
    </row>
    <row r="81" spans="45:53" s="245" customFormat="1" ht="15" x14ac:dyDescent="0.25">
      <c r="AS81" s="287" t="str">
        <f t="shared" si="24"/>
        <v/>
      </c>
      <c r="AT81" s="324">
        <f t="shared" si="27"/>
        <v>0</v>
      </c>
      <c r="AU81" s="324"/>
      <c r="AV81" s="324">
        <f t="shared" si="25"/>
        <v>0</v>
      </c>
      <c r="AW81" s="324">
        <f t="shared" si="28"/>
        <v>0</v>
      </c>
      <c r="AX81" s="413">
        <f t="shared" si="23"/>
        <v>0</v>
      </c>
      <c r="AY81" s="278">
        <f t="shared" si="22"/>
        <v>0</v>
      </c>
      <c r="AZ81" s="287">
        <f t="shared" si="26"/>
        <v>0</v>
      </c>
      <c r="BA81" s="287"/>
    </row>
    <row r="82" spans="45:53" s="245" customFormat="1" ht="15" x14ac:dyDescent="0.25">
      <c r="AS82" s="287" t="str">
        <f t="shared" si="24"/>
        <v/>
      </c>
      <c r="AT82" s="324">
        <f t="shared" si="27"/>
        <v>0</v>
      </c>
      <c r="AU82" s="324"/>
      <c r="AV82" s="324">
        <f t="shared" si="25"/>
        <v>0</v>
      </c>
      <c r="AW82" s="324">
        <f t="shared" si="28"/>
        <v>0</v>
      </c>
      <c r="AX82" s="413">
        <f t="shared" si="23"/>
        <v>0</v>
      </c>
      <c r="AY82" s="278">
        <f t="shared" si="22"/>
        <v>0</v>
      </c>
      <c r="AZ82" s="287">
        <f t="shared" si="26"/>
        <v>0</v>
      </c>
      <c r="BA82" s="287"/>
    </row>
    <row r="83" spans="45:53" s="245" customFormat="1" ht="15" x14ac:dyDescent="0.25">
      <c r="AS83" s="287" t="str">
        <f t="shared" si="24"/>
        <v/>
      </c>
      <c r="AT83" s="324">
        <f t="shared" si="27"/>
        <v>0</v>
      </c>
      <c r="AU83" s="324"/>
      <c r="AV83" s="324">
        <f t="shared" si="25"/>
        <v>0</v>
      </c>
      <c r="AW83" s="324">
        <f t="shared" si="28"/>
        <v>0</v>
      </c>
      <c r="AX83" s="413">
        <f t="shared" si="23"/>
        <v>0</v>
      </c>
      <c r="AY83" s="278">
        <f t="shared" si="22"/>
        <v>0</v>
      </c>
      <c r="AZ83" s="287">
        <f t="shared" si="26"/>
        <v>0</v>
      </c>
      <c r="BA83" s="287"/>
    </row>
    <row r="84" spans="45:53" s="245" customFormat="1" ht="15" x14ac:dyDescent="0.25">
      <c r="AS84" s="287" t="str">
        <f t="shared" si="24"/>
        <v/>
      </c>
      <c r="AT84" s="324">
        <f t="shared" si="27"/>
        <v>0</v>
      </c>
      <c r="AU84" s="324"/>
      <c r="AV84" s="324">
        <f t="shared" si="25"/>
        <v>0</v>
      </c>
      <c r="AW84" s="324">
        <f t="shared" si="28"/>
        <v>0</v>
      </c>
      <c r="AX84" s="413">
        <f t="shared" si="23"/>
        <v>0</v>
      </c>
      <c r="AY84" s="278">
        <f t="shared" si="22"/>
        <v>0</v>
      </c>
      <c r="AZ84" s="287">
        <f t="shared" si="26"/>
        <v>0</v>
      </c>
      <c r="BA84" s="287"/>
    </row>
    <row r="85" spans="45:53" s="245" customFormat="1" ht="15" x14ac:dyDescent="0.25">
      <c r="AS85" s="287" t="str">
        <f t="shared" si="24"/>
        <v/>
      </c>
      <c r="AT85" s="324">
        <f t="shared" si="27"/>
        <v>0</v>
      </c>
      <c r="AU85" s="324"/>
      <c r="AV85" s="324">
        <f t="shared" si="25"/>
        <v>0</v>
      </c>
      <c r="AW85" s="324">
        <f t="shared" si="28"/>
        <v>0</v>
      </c>
      <c r="AX85" s="413">
        <f t="shared" si="23"/>
        <v>0</v>
      </c>
      <c r="AY85" s="278">
        <f t="shared" si="22"/>
        <v>0</v>
      </c>
      <c r="AZ85" s="287">
        <f t="shared" si="26"/>
        <v>0</v>
      </c>
      <c r="BA85" s="287"/>
    </row>
    <row r="86" spans="45:53" s="245" customFormat="1" ht="15" x14ac:dyDescent="0.25">
      <c r="AS86" s="287" t="str">
        <f t="shared" si="24"/>
        <v/>
      </c>
      <c r="AT86" s="324">
        <f t="shared" si="27"/>
        <v>0</v>
      </c>
      <c r="AU86" s="324"/>
      <c r="AV86" s="324">
        <f t="shared" si="25"/>
        <v>0</v>
      </c>
      <c r="AW86" s="324">
        <f t="shared" si="28"/>
        <v>0</v>
      </c>
      <c r="AX86" s="413">
        <f t="shared" si="23"/>
        <v>0</v>
      </c>
      <c r="AY86" s="278">
        <f t="shared" si="22"/>
        <v>0</v>
      </c>
      <c r="AZ86" s="287">
        <f t="shared" si="26"/>
        <v>0</v>
      </c>
      <c r="BA86" s="287"/>
    </row>
    <row r="87" spans="45:53" s="245" customFormat="1" ht="15" x14ac:dyDescent="0.25">
      <c r="AS87" s="287" t="str">
        <f t="shared" si="24"/>
        <v/>
      </c>
      <c r="AT87" s="324">
        <f t="shared" si="27"/>
        <v>0</v>
      </c>
      <c r="AU87" s="324"/>
      <c r="AV87" s="324">
        <f t="shared" si="25"/>
        <v>0</v>
      </c>
      <c r="AW87" s="324">
        <f t="shared" si="28"/>
        <v>0</v>
      </c>
      <c r="AX87" s="413">
        <f t="shared" si="23"/>
        <v>0</v>
      </c>
      <c r="AY87" s="278">
        <f t="shared" si="22"/>
        <v>0</v>
      </c>
      <c r="AZ87" s="287">
        <f t="shared" si="26"/>
        <v>0</v>
      </c>
      <c r="BA87" s="287"/>
    </row>
    <row r="88" spans="45:53" s="245" customFormat="1" ht="15" x14ac:dyDescent="0.25">
      <c r="AS88" s="287" t="str">
        <f t="shared" si="24"/>
        <v/>
      </c>
      <c r="AT88" s="324">
        <f t="shared" si="27"/>
        <v>0</v>
      </c>
      <c r="AU88" s="324"/>
      <c r="AV88" s="324">
        <f t="shared" si="25"/>
        <v>0</v>
      </c>
      <c r="AW88" s="324">
        <f t="shared" si="28"/>
        <v>0</v>
      </c>
      <c r="AX88" s="413">
        <f t="shared" si="23"/>
        <v>0</v>
      </c>
      <c r="AY88" s="278">
        <f t="shared" si="22"/>
        <v>0</v>
      </c>
      <c r="AZ88" s="287">
        <f t="shared" si="26"/>
        <v>0</v>
      </c>
      <c r="BA88" s="287"/>
    </row>
    <row r="89" spans="45:53" s="245" customFormat="1" ht="15" x14ac:dyDescent="0.25">
      <c r="AS89" s="287" t="str">
        <f t="shared" si="24"/>
        <v/>
      </c>
      <c r="AT89" s="324">
        <f t="shared" si="27"/>
        <v>0</v>
      </c>
      <c r="AU89" s="324"/>
      <c r="AV89" s="324">
        <f t="shared" si="25"/>
        <v>0</v>
      </c>
      <c r="AW89" s="324">
        <f t="shared" si="28"/>
        <v>0</v>
      </c>
      <c r="AX89" s="413">
        <f t="shared" si="23"/>
        <v>0</v>
      </c>
      <c r="AY89" s="278">
        <f t="shared" si="22"/>
        <v>0</v>
      </c>
      <c r="AZ89" s="287">
        <f t="shared" si="26"/>
        <v>0</v>
      </c>
      <c r="BA89" s="287"/>
    </row>
    <row r="90" spans="45:53" s="245" customFormat="1" ht="15" x14ac:dyDescent="0.25">
      <c r="AS90" s="287" t="str">
        <f t="shared" si="24"/>
        <v/>
      </c>
      <c r="AT90" s="324">
        <f t="shared" si="27"/>
        <v>0</v>
      </c>
      <c r="AU90" s="324"/>
      <c r="AV90" s="324">
        <f t="shared" si="25"/>
        <v>0</v>
      </c>
      <c r="AW90" s="324">
        <f t="shared" si="28"/>
        <v>0</v>
      </c>
      <c r="AX90" s="413">
        <f t="shared" si="23"/>
        <v>0</v>
      </c>
      <c r="AY90" s="278">
        <f t="shared" si="22"/>
        <v>0</v>
      </c>
      <c r="AZ90" s="287">
        <f t="shared" si="26"/>
        <v>0</v>
      </c>
      <c r="BA90" s="287"/>
    </row>
    <row r="91" spans="45:53" s="245" customFormat="1" ht="15" x14ac:dyDescent="0.25">
      <c r="AS91" s="287" t="str">
        <f t="shared" si="24"/>
        <v/>
      </c>
      <c r="AT91" s="324">
        <f t="shared" si="27"/>
        <v>0</v>
      </c>
      <c r="AU91" s="324"/>
      <c r="AV91" s="324">
        <f t="shared" si="25"/>
        <v>0</v>
      </c>
      <c r="AW91" s="324">
        <f t="shared" si="28"/>
        <v>0</v>
      </c>
      <c r="AX91" s="413">
        <f t="shared" si="23"/>
        <v>0</v>
      </c>
      <c r="AY91" s="278">
        <f t="shared" si="22"/>
        <v>0</v>
      </c>
      <c r="AZ91" s="287">
        <f t="shared" si="26"/>
        <v>0</v>
      </c>
      <c r="BA91" s="287"/>
    </row>
    <row r="92" spans="45:53" s="245" customFormat="1" ht="15" x14ac:dyDescent="0.25">
      <c r="AS92" s="287" t="str">
        <f t="shared" si="24"/>
        <v/>
      </c>
      <c r="AT92" s="324">
        <f t="shared" si="27"/>
        <v>0</v>
      </c>
      <c r="AU92" s="324"/>
      <c r="AV92" s="324">
        <f t="shared" si="25"/>
        <v>0</v>
      </c>
      <c r="AW92" s="324">
        <f t="shared" si="28"/>
        <v>0</v>
      </c>
      <c r="AX92" s="413">
        <f t="shared" si="23"/>
        <v>0</v>
      </c>
      <c r="AY92" s="278">
        <f t="shared" si="22"/>
        <v>0</v>
      </c>
      <c r="AZ92" s="287">
        <f t="shared" si="26"/>
        <v>0</v>
      </c>
      <c r="BA92" s="287"/>
    </row>
    <row r="93" spans="45:53" s="245" customFormat="1" ht="15" x14ac:dyDescent="0.25">
      <c r="AS93" s="287" t="str">
        <f t="shared" si="24"/>
        <v/>
      </c>
      <c r="AT93" s="324">
        <f t="shared" si="27"/>
        <v>0</v>
      </c>
      <c r="AU93" s="324"/>
      <c r="AV93" s="324">
        <f t="shared" si="25"/>
        <v>0</v>
      </c>
      <c r="AW93" s="324">
        <f t="shared" si="28"/>
        <v>0</v>
      </c>
      <c r="AX93" s="413">
        <f t="shared" si="23"/>
        <v>0</v>
      </c>
      <c r="AY93" s="278">
        <f t="shared" si="22"/>
        <v>0</v>
      </c>
      <c r="AZ93" s="287">
        <f t="shared" si="26"/>
        <v>0</v>
      </c>
      <c r="BA93" s="287"/>
    </row>
    <row r="94" spans="45:53" s="245" customFormat="1" ht="15" x14ac:dyDescent="0.25">
      <c r="AS94" s="287" t="str">
        <f t="shared" si="24"/>
        <v/>
      </c>
      <c r="AT94" s="324">
        <f t="shared" si="27"/>
        <v>0</v>
      </c>
      <c r="AU94" s="324"/>
      <c r="AV94" s="324">
        <f t="shared" si="25"/>
        <v>0</v>
      </c>
      <c r="AW94" s="324">
        <f t="shared" si="28"/>
        <v>0</v>
      </c>
      <c r="AX94" s="413">
        <f t="shared" si="23"/>
        <v>0</v>
      </c>
      <c r="AY94" s="278">
        <f t="shared" si="22"/>
        <v>0</v>
      </c>
      <c r="AZ94" s="287">
        <f t="shared" si="26"/>
        <v>0</v>
      </c>
      <c r="BA94" s="287"/>
    </row>
    <row r="95" spans="45:53" s="245" customFormat="1" ht="15" x14ac:dyDescent="0.25">
      <c r="AS95" s="287" t="str">
        <f t="shared" si="24"/>
        <v/>
      </c>
      <c r="AT95" s="324">
        <f t="shared" si="27"/>
        <v>0</v>
      </c>
      <c r="AU95" s="324"/>
      <c r="AV95" s="324">
        <f t="shared" si="25"/>
        <v>0</v>
      </c>
      <c r="AW95" s="324">
        <f t="shared" si="28"/>
        <v>0</v>
      </c>
      <c r="AX95" s="413">
        <f t="shared" si="23"/>
        <v>0</v>
      </c>
      <c r="AY95" s="278">
        <f t="shared" si="22"/>
        <v>0</v>
      </c>
      <c r="AZ95" s="287">
        <f t="shared" si="26"/>
        <v>0</v>
      </c>
      <c r="BA95" s="287"/>
    </row>
    <row r="96" spans="45:53" s="245" customFormat="1" ht="15" x14ac:dyDescent="0.25">
      <c r="AS96" s="287" t="str">
        <f t="shared" si="24"/>
        <v/>
      </c>
      <c r="AT96" s="324">
        <f t="shared" si="27"/>
        <v>0</v>
      </c>
      <c r="AU96" s="324"/>
      <c r="AV96" s="324">
        <f t="shared" si="25"/>
        <v>0</v>
      </c>
      <c r="AW96" s="324">
        <f t="shared" si="28"/>
        <v>0</v>
      </c>
      <c r="AX96" s="413">
        <f t="shared" si="23"/>
        <v>0</v>
      </c>
      <c r="AY96" s="278">
        <f t="shared" si="22"/>
        <v>0</v>
      </c>
      <c r="AZ96" s="287">
        <f t="shared" si="26"/>
        <v>0</v>
      </c>
      <c r="BA96" s="287"/>
    </row>
    <row r="97" spans="45:53" s="245" customFormat="1" ht="15" x14ac:dyDescent="0.25">
      <c r="AS97" s="287" t="str">
        <f t="shared" si="24"/>
        <v/>
      </c>
      <c r="AT97" s="324">
        <f t="shared" si="27"/>
        <v>0</v>
      </c>
      <c r="AU97" s="324"/>
      <c r="AV97" s="324">
        <f t="shared" si="25"/>
        <v>0</v>
      </c>
      <c r="AW97" s="324">
        <f t="shared" si="28"/>
        <v>0</v>
      </c>
      <c r="AX97" s="413">
        <f t="shared" si="23"/>
        <v>0</v>
      </c>
      <c r="AY97" s="278">
        <f t="shared" si="22"/>
        <v>0</v>
      </c>
      <c r="AZ97" s="287">
        <f t="shared" si="26"/>
        <v>0</v>
      </c>
      <c r="BA97" s="287"/>
    </row>
    <row r="98" spans="45:53" s="245" customFormat="1" ht="15" x14ac:dyDescent="0.25">
      <c r="AS98" s="287" t="str">
        <f t="shared" si="24"/>
        <v/>
      </c>
      <c r="AT98" s="324">
        <f t="shared" si="27"/>
        <v>0</v>
      </c>
      <c r="AU98" s="324"/>
      <c r="AV98" s="324">
        <f t="shared" si="25"/>
        <v>0</v>
      </c>
      <c r="AW98" s="324">
        <f t="shared" si="28"/>
        <v>0</v>
      </c>
      <c r="AX98" s="413">
        <f t="shared" si="23"/>
        <v>0</v>
      </c>
      <c r="AY98" s="278">
        <f t="shared" si="22"/>
        <v>0</v>
      </c>
      <c r="AZ98" s="287">
        <f t="shared" si="26"/>
        <v>0</v>
      </c>
      <c r="BA98" s="287"/>
    </row>
    <row r="99" spans="45:53" s="245" customFormat="1" ht="15" x14ac:dyDescent="0.25">
      <c r="AS99" s="287" t="str">
        <f t="shared" si="24"/>
        <v/>
      </c>
      <c r="AT99" s="324">
        <f t="shared" si="27"/>
        <v>0</v>
      </c>
      <c r="AU99" s="324"/>
      <c r="AV99" s="324">
        <f t="shared" si="25"/>
        <v>0</v>
      </c>
      <c r="AW99" s="324">
        <f t="shared" si="28"/>
        <v>0</v>
      </c>
      <c r="AX99" s="413">
        <f t="shared" si="23"/>
        <v>0</v>
      </c>
      <c r="AY99" s="278">
        <f t="shared" si="22"/>
        <v>0</v>
      </c>
      <c r="AZ99" s="287">
        <f t="shared" si="26"/>
        <v>0</v>
      </c>
      <c r="BA99" s="287"/>
    </row>
    <row r="100" spans="45:53" s="245" customFormat="1" ht="15" x14ac:dyDescent="0.25">
      <c r="AS100" s="287" t="str">
        <f t="shared" si="24"/>
        <v/>
      </c>
      <c r="AT100" s="324">
        <f t="shared" si="27"/>
        <v>0</v>
      </c>
      <c r="AU100" s="324"/>
      <c r="AV100" s="324">
        <f t="shared" si="25"/>
        <v>0</v>
      </c>
      <c r="AW100" s="324">
        <f t="shared" si="28"/>
        <v>0</v>
      </c>
      <c r="AX100" s="413">
        <f t="shared" ref="AX100:AX110" si="29">IF(ISNUMBER(AS101),AU100+AV100,AU100+AV100+AW100*$D$16)</f>
        <v>0</v>
      </c>
      <c r="AY100" s="278">
        <f t="shared" si="22"/>
        <v>0</v>
      </c>
      <c r="AZ100" s="287">
        <f t="shared" si="26"/>
        <v>0</v>
      </c>
      <c r="BA100" s="287"/>
    </row>
    <row r="101" spans="45:53" s="245" customFormat="1" ht="15" x14ac:dyDescent="0.25">
      <c r="AS101" s="287" t="str">
        <f t="shared" ref="AS101:AS111" si="30">IF(AS100&lt;$D$14,AS100+1,"")</f>
        <v/>
      </c>
      <c r="AT101" s="324">
        <f t="shared" si="27"/>
        <v>0</v>
      </c>
      <c r="AU101" s="324"/>
      <c r="AV101" s="324">
        <f t="shared" si="25"/>
        <v>0</v>
      </c>
      <c r="AW101" s="324">
        <f t="shared" si="28"/>
        <v>0</v>
      </c>
      <c r="AX101" s="413">
        <f t="shared" si="29"/>
        <v>0</v>
      </c>
      <c r="AY101" s="278">
        <f t="shared" si="22"/>
        <v>0</v>
      </c>
      <c r="AZ101" s="287">
        <f t="shared" si="26"/>
        <v>0</v>
      </c>
      <c r="BA101" s="287"/>
    </row>
    <row r="102" spans="45:53" s="245" customFormat="1" ht="15" x14ac:dyDescent="0.25">
      <c r="AS102" s="287" t="str">
        <f t="shared" si="30"/>
        <v/>
      </c>
      <c r="AT102" s="324">
        <f t="shared" si="27"/>
        <v>0</v>
      </c>
      <c r="AU102" s="324"/>
      <c r="AV102" s="324">
        <f t="shared" si="25"/>
        <v>0</v>
      </c>
      <c r="AW102" s="324">
        <f t="shared" si="28"/>
        <v>0</v>
      </c>
      <c r="AX102" s="413">
        <f t="shared" si="29"/>
        <v>0</v>
      </c>
      <c r="AY102" s="278">
        <f t="shared" si="22"/>
        <v>0</v>
      </c>
      <c r="AZ102" s="287">
        <f t="shared" si="26"/>
        <v>0</v>
      </c>
      <c r="BA102" s="287"/>
    </row>
    <row r="103" spans="45:53" s="245" customFormat="1" ht="15" x14ac:dyDescent="0.25">
      <c r="AS103" s="287" t="str">
        <f t="shared" si="30"/>
        <v/>
      </c>
      <c r="AT103" s="324">
        <f t="shared" si="27"/>
        <v>0</v>
      </c>
      <c r="AU103" s="324"/>
      <c r="AV103" s="324">
        <f t="shared" si="25"/>
        <v>0</v>
      </c>
      <c r="AW103" s="324">
        <f t="shared" si="28"/>
        <v>0</v>
      </c>
      <c r="AX103" s="413">
        <f t="shared" si="29"/>
        <v>0</v>
      </c>
      <c r="AY103" s="278">
        <f>IF(ISNUMBER(AS103),LN(AX103+$J$39)-LN($J$39),0)</f>
        <v>0</v>
      </c>
      <c r="AZ103" s="287">
        <f t="shared" si="26"/>
        <v>0</v>
      </c>
      <c r="BA103" s="287"/>
    </row>
    <row r="104" spans="45:53" s="245" customFormat="1" ht="15" x14ac:dyDescent="0.25">
      <c r="AS104" s="287" t="str">
        <f t="shared" si="30"/>
        <v/>
      </c>
      <c r="AT104" s="324">
        <f t="shared" si="27"/>
        <v>0</v>
      </c>
      <c r="AU104" s="324"/>
      <c r="AV104" s="324">
        <f t="shared" si="25"/>
        <v>0</v>
      </c>
      <c r="AW104" s="324">
        <f t="shared" si="28"/>
        <v>0</v>
      </c>
      <c r="AX104" s="413">
        <f t="shared" si="29"/>
        <v>0</v>
      </c>
      <c r="AY104" s="278">
        <f t="shared" si="22"/>
        <v>0</v>
      </c>
      <c r="AZ104" s="287">
        <f t="shared" si="26"/>
        <v>0</v>
      </c>
      <c r="BA104" s="287"/>
    </row>
    <row r="105" spans="45:53" s="245" customFormat="1" ht="15" x14ac:dyDescent="0.25">
      <c r="AS105" s="287" t="str">
        <f t="shared" si="30"/>
        <v/>
      </c>
      <c r="AT105" s="324">
        <f t="shared" si="27"/>
        <v>0</v>
      </c>
      <c r="AU105" s="324"/>
      <c r="AV105" s="324">
        <f t="shared" si="25"/>
        <v>0</v>
      </c>
      <c r="AW105" s="324">
        <f t="shared" si="28"/>
        <v>0</v>
      </c>
      <c r="AX105" s="413">
        <f t="shared" si="29"/>
        <v>0</v>
      </c>
      <c r="AY105" s="278">
        <f t="shared" si="22"/>
        <v>0</v>
      </c>
      <c r="AZ105" s="287">
        <f t="shared" si="26"/>
        <v>0</v>
      </c>
      <c r="BA105" s="287"/>
    </row>
    <row r="106" spans="45:53" s="245" customFormat="1" ht="15" x14ac:dyDescent="0.25">
      <c r="AS106" s="287" t="str">
        <f t="shared" si="30"/>
        <v/>
      </c>
      <c r="AT106" s="324">
        <f t="shared" si="27"/>
        <v>0</v>
      </c>
      <c r="AU106" s="324"/>
      <c r="AV106" s="324">
        <f t="shared" si="25"/>
        <v>0</v>
      </c>
      <c r="AW106" s="324">
        <f t="shared" si="28"/>
        <v>0</v>
      </c>
      <c r="AX106" s="413">
        <f t="shared" si="29"/>
        <v>0</v>
      </c>
      <c r="AY106" s="278">
        <f t="shared" si="22"/>
        <v>0</v>
      </c>
      <c r="AZ106" s="287">
        <f t="shared" si="26"/>
        <v>0</v>
      </c>
      <c r="BA106" s="287"/>
    </row>
    <row r="107" spans="45:53" s="245" customFormat="1" ht="15" x14ac:dyDescent="0.25">
      <c r="AS107" s="287" t="str">
        <f t="shared" si="30"/>
        <v/>
      </c>
      <c r="AT107" s="324">
        <f t="shared" si="27"/>
        <v>0</v>
      </c>
      <c r="AU107" s="324"/>
      <c r="AV107" s="324">
        <f t="shared" si="25"/>
        <v>0</v>
      </c>
      <c r="AW107" s="324">
        <f t="shared" si="28"/>
        <v>0</v>
      </c>
      <c r="AX107" s="413">
        <f t="shared" si="29"/>
        <v>0</v>
      </c>
      <c r="AY107" s="278">
        <f t="shared" si="22"/>
        <v>0</v>
      </c>
      <c r="AZ107" s="287">
        <f t="shared" si="26"/>
        <v>0</v>
      </c>
      <c r="BA107" s="287"/>
    </row>
    <row r="108" spans="45:53" s="245" customFormat="1" ht="15" x14ac:dyDescent="0.25">
      <c r="AS108" s="287" t="str">
        <f t="shared" si="30"/>
        <v/>
      </c>
      <c r="AT108" s="324">
        <f t="shared" si="27"/>
        <v>0</v>
      </c>
      <c r="AU108" s="324"/>
      <c r="AV108" s="324">
        <f t="shared" si="25"/>
        <v>0</v>
      </c>
      <c r="AW108" s="324">
        <f t="shared" si="28"/>
        <v>0</v>
      </c>
      <c r="AX108" s="413">
        <f t="shared" si="29"/>
        <v>0</v>
      </c>
      <c r="AY108" s="278">
        <f t="shared" si="22"/>
        <v>0</v>
      </c>
      <c r="AZ108" s="287">
        <f t="shared" si="26"/>
        <v>0</v>
      </c>
      <c r="BA108" s="287"/>
    </row>
    <row r="109" spans="45:53" s="245" customFormat="1" ht="15" x14ac:dyDescent="0.25">
      <c r="AS109" s="287" t="str">
        <f t="shared" si="30"/>
        <v/>
      </c>
      <c r="AT109" s="324">
        <f t="shared" si="27"/>
        <v>0</v>
      </c>
      <c r="AU109" s="324"/>
      <c r="AV109" s="324">
        <f t="shared" si="25"/>
        <v>0</v>
      </c>
      <c r="AW109" s="324">
        <f t="shared" si="28"/>
        <v>0</v>
      </c>
      <c r="AX109" s="413">
        <f t="shared" si="29"/>
        <v>0</v>
      </c>
      <c r="AY109" s="278">
        <f t="shared" si="22"/>
        <v>0</v>
      </c>
      <c r="AZ109" s="287">
        <f t="shared" si="26"/>
        <v>0</v>
      </c>
      <c r="BA109" s="287"/>
    </row>
    <row r="110" spans="45:53" s="245" customFormat="1" ht="15" x14ac:dyDescent="0.25">
      <c r="AS110" s="287" t="str">
        <f t="shared" si="30"/>
        <v/>
      </c>
      <c r="AT110" s="324">
        <f t="shared" si="27"/>
        <v>0</v>
      </c>
      <c r="AU110" s="324"/>
      <c r="AV110" s="324">
        <f t="shared" si="25"/>
        <v>0</v>
      </c>
      <c r="AW110" s="324">
        <f t="shared" si="28"/>
        <v>0</v>
      </c>
      <c r="AX110" s="413">
        <f t="shared" si="29"/>
        <v>0</v>
      </c>
      <c r="AY110" s="278">
        <f t="shared" si="22"/>
        <v>0</v>
      </c>
      <c r="AZ110" s="287">
        <f t="shared" si="26"/>
        <v>0</v>
      </c>
      <c r="BA110" s="287"/>
    </row>
    <row r="111" spans="45:53" s="245" customFormat="1" ht="15" x14ac:dyDescent="0.25">
      <c r="AS111" s="287" t="str">
        <f t="shared" si="30"/>
        <v/>
      </c>
      <c r="AT111" s="324">
        <f t="shared" si="27"/>
        <v>0</v>
      </c>
      <c r="AU111" s="324"/>
      <c r="AV111" s="324">
        <f t="shared" si="25"/>
        <v>0</v>
      </c>
      <c r="AW111" s="324">
        <f t="shared" si="28"/>
        <v>0</v>
      </c>
      <c r="AX111" s="413">
        <f>IF(ISNUMBER(AS114),AU111+AV111,AU111+AV111+AW111*$D$16)</f>
        <v>0</v>
      </c>
      <c r="AY111" s="278">
        <f t="shared" si="22"/>
        <v>0</v>
      </c>
      <c r="AZ111" s="287">
        <f t="shared" si="26"/>
        <v>0</v>
      </c>
      <c r="BA111" s="287"/>
    </row>
    <row r="112" spans="45:53" s="245" customFormat="1" ht="15" x14ac:dyDescent="0.25">
      <c r="BA112" s="287"/>
    </row>
    <row r="113" spans="53:53" s="245" customFormat="1" ht="15" x14ac:dyDescent="0.25">
      <c r="BA113" s="287"/>
    </row>
    <row r="114" spans="53:53" s="245" customFormat="1" ht="15" x14ac:dyDescent="0.25">
      <c r="BA114" s="287"/>
    </row>
    <row r="115" spans="53:53" s="245" customFormat="1" ht="15" x14ac:dyDescent="0.25">
      <c r="BA115" s="287"/>
    </row>
    <row r="116" spans="53:53" s="245" customFormat="1" ht="15" x14ac:dyDescent="0.25">
      <c r="BA116" s="287"/>
    </row>
    <row r="117" spans="53:53" s="245" customFormat="1" ht="15" x14ac:dyDescent="0.25">
      <c r="BA117" s="287"/>
    </row>
    <row r="118" spans="53:53" s="245" customFormat="1" ht="15" x14ac:dyDescent="0.25">
      <c r="BA118" s="287"/>
    </row>
    <row r="119" spans="53:53" s="245" customFormat="1" ht="15" x14ac:dyDescent="0.25">
      <c r="BA119" s="287"/>
    </row>
    <row r="120" spans="53:53" s="245" customFormat="1" ht="15" x14ac:dyDescent="0.25">
      <c r="BA120" s="287"/>
    </row>
    <row r="121" spans="53:53" ht="15" x14ac:dyDescent="0.25">
      <c r="BA121" s="231"/>
    </row>
  </sheetData>
  <mergeCells count="80">
    <mergeCell ref="J39:N39"/>
    <mergeCell ref="O39:P39"/>
    <mergeCell ref="D40:G40"/>
    <mergeCell ref="R40:T40"/>
    <mergeCell ref="B25:E28"/>
    <mergeCell ref="F33:F36"/>
    <mergeCell ref="R35:V35"/>
    <mergeCell ref="B38:B40"/>
    <mergeCell ref="D38:F38"/>
    <mergeCell ref="H38:I38"/>
    <mergeCell ref="J38:N38"/>
    <mergeCell ref="O38:P38"/>
    <mergeCell ref="D39:F39"/>
    <mergeCell ref="H39:I39"/>
    <mergeCell ref="F23:F26"/>
    <mergeCell ref="Q23:Q27"/>
    <mergeCell ref="B14:B20"/>
    <mergeCell ref="T17:U17"/>
    <mergeCell ref="C19:C20"/>
    <mergeCell ref="D19:D20"/>
    <mergeCell ref="C16:C18"/>
    <mergeCell ref="D16:D18"/>
    <mergeCell ref="C14:C15"/>
    <mergeCell ref="D14:D15"/>
    <mergeCell ref="F15:F16"/>
    <mergeCell ref="G15:G16"/>
    <mergeCell ref="I15:I16"/>
    <mergeCell ref="J15:J16"/>
    <mergeCell ref="Q14:Q15"/>
    <mergeCell ref="T15:U15"/>
    <mergeCell ref="F17:F19"/>
    <mergeCell ref="G17:G19"/>
    <mergeCell ref="R23:S24"/>
    <mergeCell ref="U23:W24"/>
    <mergeCell ref="T20:U20"/>
    <mergeCell ref="S12:S13"/>
    <mergeCell ref="R12:R13"/>
    <mergeCell ref="V12:W13"/>
    <mergeCell ref="T12:U13"/>
    <mergeCell ref="T21:U21"/>
    <mergeCell ref="W18:W19"/>
    <mergeCell ref="T16:U16"/>
    <mergeCell ref="V18:V19"/>
    <mergeCell ref="R18:R19"/>
    <mergeCell ref="S18:S19"/>
    <mergeCell ref="T18:U19"/>
    <mergeCell ref="T14:U14"/>
    <mergeCell ref="V14:W14"/>
    <mergeCell ref="B7:B11"/>
    <mergeCell ref="Q8:Q11"/>
    <mergeCell ref="T8:U8"/>
    <mergeCell ref="V8:W8"/>
    <mergeCell ref="C9:D9"/>
    <mergeCell ref="T9:U9"/>
    <mergeCell ref="V9:W9"/>
    <mergeCell ref="V10:W10"/>
    <mergeCell ref="T11:U11"/>
    <mergeCell ref="V11:W11"/>
    <mergeCell ref="Z9:AA9"/>
    <mergeCell ref="T10:U10"/>
    <mergeCell ref="C6:D6"/>
    <mergeCell ref="I6:J6"/>
    <mergeCell ref="L6:M6"/>
    <mergeCell ref="T6:U6"/>
    <mergeCell ref="V6:W6"/>
    <mergeCell ref="Z10:AA10"/>
    <mergeCell ref="S2:T3"/>
    <mergeCell ref="Z2:AB3"/>
    <mergeCell ref="B4:D5"/>
    <mergeCell ref="F4:G5"/>
    <mergeCell ref="T4:U4"/>
    <mergeCell ref="V4:W4"/>
    <mergeCell ref="T5:U5"/>
    <mergeCell ref="V5:W5"/>
    <mergeCell ref="V15:W15"/>
    <mergeCell ref="L12:L13"/>
    <mergeCell ref="M12:M13"/>
    <mergeCell ref="I18:I19"/>
    <mergeCell ref="J18:J19"/>
    <mergeCell ref="L17:M17"/>
  </mergeCells>
  <dataValidations count="3">
    <dataValidation type="list" allowBlank="1" showInputMessage="1" sqref="K9">
      <formula1>$C$32:$G$32</formula1>
    </dataValidation>
    <dataValidation type="list" allowBlank="1" showInputMessage="1" sqref="K15">
      <formula1>$C$23:$G$23</formula1>
    </dataValidation>
    <dataValidation type="list" allowBlank="1" showInputMessage="1" sqref="K16">
      <formula1>$C$30:$G$30</formula1>
    </dataValidation>
  </dataValidations>
  <hyperlinks>
    <hyperlink ref="H40" r:id="rId1" location="Grantstructure"/>
    <hyperlink ref="V40"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8">
        <x14:dataValidation type="list" allowBlank="1" showInputMessage="1">
          <x14:formula1>
            <xm:f>Parameters!$D$12:$H$12</xm:f>
          </x14:formula1>
          <xm:sqref>J18:K19</xm:sqref>
        </x14:dataValidation>
        <x14:dataValidation type="list" allowBlank="1" showInputMessage="1">
          <x14:formula1>
            <xm:f>Parameters!$D$8:$H$8</xm:f>
          </x14:formula1>
          <xm:sqref>G10</xm:sqref>
        </x14:dataValidation>
        <x14:dataValidation type="list" allowBlank="1" showInputMessage="1">
          <x14:formula1>
            <xm:f>Parameters!$D$7:$H$7</xm:f>
          </x14:formula1>
          <xm:sqref>G8</xm:sqref>
        </x14:dataValidation>
        <x14:dataValidation type="list" allowBlank="1" showInputMessage="1">
          <x14:formula1>
            <xm:f>Parameters!$D$31:$H$31</xm:f>
          </x14:formula1>
          <xm:sqref>G20</xm:sqref>
        </x14:dataValidation>
        <x14:dataValidation type="list" allowBlank="1" showInputMessage="1">
          <x14:formula1>
            <xm:f>Parameters!$D$4:$H$4</xm:f>
          </x14:formula1>
          <xm:sqref>D7</xm:sqref>
        </x14:dataValidation>
        <x14:dataValidation type="list" allowBlank="1" showInputMessage="1">
          <x14:formula1>
            <xm:f>Parameters!$D$15:$H$15</xm:f>
          </x14:formula1>
          <xm:sqref>J20:K20</xm:sqref>
        </x14:dataValidation>
        <x14:dataValidation type="list" allowBlank="1" showInputMessage="1">
          <x14:formula1>
            <xm:f>Parameters!$D$19:$H$19</xm:f>
          </x14:formula1>
          <xm:sqref>J17:K17</xm:sqref>
        </x14:dataValidation>
        <x14:dataValidation type="list" allowBlank="1" showInputMessage="1">
          <x14:formula1>
            <xm:f>Parameters!$D$16:$H$16</xm:f>
          </x14:formula1>
          <xm:sqref>J10</xm:sqref>
        </x14:dataValidation>
        <x14:dataValidation type="list" allowBlank="1" showInputMessage="1">
          <x14:formula1>
            <xm:f>Parameters!$E$21:$G$21</xm:f>
          </x14:formula1>
          <xm:sqref>K7</xm:sqref>
        </x14:dataValidation>
        <x14:dataValidation type="list" allowBlank="1" showInputMessage="1">
          <x14:formula1>
            <xm:f>Parameters!$D$21:$H$21</xm:f>
          </x14:formula1>
          <xm:sqref>J7</xm:sqref>
        </x14:dataValidation>
        <x14:dataValidation type="list" allowBlank="1" showInputMessage="1">
          <x14:formula1>
            <xm:f>Parameters!$E$14:$I$14</xm:f>
          </x14:formula1>
          <xm:sqref>K10</xm:sqref>
        </x14:dataValidation>
        <x14:dataValidation type="list" allowBlank="1" showInputMessage="1">
          <x14:formula1>
            <xm:f>Parameters!$D$14:$H$14</xm:f>
          </x14:formula1>
          <xm:sqref>J8</xm:sqref>
        </x14:dataValidation>
        <x14:dataValidation type="list" allowBlank="1" showInputMessage="1">
          <x14:formula1>
            <xm:f>Parameters!$D$36:$H$36</xm:f>
          </x14:formula1>
          <xm:sqref>M8</xm:sqref>
        </x14:dataValidation>
        <x14:dataValidation type="list" allowBlank="1" showInputMessage="1">
          <x14:formula1>
            <xm:f>Parameters!$D$37:$H$37</xm:f>
          </x14:formula1>
          <xm:sqref>M9</xm:sqref>
        </x14:dataValidation>
        <x14:dataValidation type="list" allowBlank="1" showInputMessage="1">
          <x14:formula1>
            <xm:f>Parameters!$D$39:$H$39</xm:f>
          </x14:formula1>
          <xm:sqref>M11</xm:sqref>
        </x14:dataValidation>
        <x14:dataValidation type="list" allowBlank="1" showInputMessage="1">
          <x14:formula1>
            <xm:f>Parameters!$D$40:$H$40</xm:f>
          </x14:formula1>
          <xm:sqref>M12</xm:sqref>
        </x14:dataValidation>
        <x14:dataValidation type="list" allowBlank="1" showInputMessage="1">
          <x14:formula1>
            <xm:f>Parameters!$D$41:$H$41</xm:f>
          </x14:formula1>
          <xm:sqref>M14</xm:sqref>
        </x14:dataValidation>
        <x14:dataValidation type="list" allowBlank="1" showInputMessage="1">
          <x14:formula1>
            <xm:f>Parameters!$D$42:$H$42</xm:f>
          </x14:formula1>
          <xm:sqref>M15</xm:sqref>
        </x14:dataValidation>
        <x14:dataValidation type="list" allowBlank="1" showInputMessage="1">
          <x14:formula1>
            <xm:f>Parameters!$D$22:$H$22</xm:f>
          </x14:formula1>
          <xm:sqref>J11</xm:sqref>
        </x14:dataValidation>
        <x14:dataValidation type="list" allowBlank="1" showInputMessage="1">
          <x14:formula1>
            <xm:f>Parameters!$D$20:$H$20</xm:f>
          </x14:formula1>
          <xm:sqref>J14</xm:sqref>
        </x14:dataValidation>
        <x14:dataValidation type="list" allowBlank="1" showInputMessage="1">
          <x14:formula1>
            <xm:f>Parameters!$D$26:$H$26</xm:f>
          </x14:formula1>
          <xm:sqref>G17:G19</xm:sqref>
        </x14:dataValidation>
        <x14:dataValidation type="list" allowBlank="1" showInputMessage="1">
          <x14:formula1>
            <xm:f>Parameters!$D$9:$H$9</xm:f>
          </x14:formula1>
          <xm:sqref>G15:G16</xm:sqref>
        </x14:dataValidation>
        <x14:dataValidation type="list" allowBlank="1" showInputMessage="1">
          <x14:formula1>
            <xm:f>Parameters!$D$56:$H$56</xm:f>
          </x14:formula1>
          <xm:sqref>D14</xm:sqref>
        </x14:dataValidation>
        <x14:dataValidation type="list" allowBlank="1" showInputMessage="1">
          <x14:formula1>
            <xm:f>Parameters!$D$54:$H$54</xm:f>
          </x14:formula1>
          <xm:sqref>D10</xm:sqref>
        </x14:dataValidation>
        <x14:dataValidation type="list" allowBlank="1" showInputMessage="1">
          <x14:formula1>
            <xm:f>Parameters!$D$32:$H$32</xm:f>
          </x14:formula1>
          <xm:sqref>G11</xm:sqref>
        </x14:dataValidation>
        <x14:dataValidation type="list" allowBlank="1" showInputMessage="1">
          <x14:formula1>
            <xm:f>Parameters!$D$49:$H$49</xm:f>
          </x14:formula1>
          <xm:sqref>M20</xm:sqref>
        </x14:dataValidation>
        <x14:dataValidation type="list" allowBlank="1" showInputMessage="1">
          <x14:formula1>
            <xm:f>Parameters!$D$50:$H$50</xm:f>
          </x14:formula1>
          <xm:sqref>M18</xm:sqref>
        </x14:dataValidation>
        <x14:dataValidation type="list" allowBlank="1" showInputMessage="1">
          <x14:formula1>
            <xm:f>Parameters!$D$29:$H$29</xm:f>
          </x14:formula1>
          <xm:sqref>G14</xm:sqref>
        </x14:dataValidation>
        <x14:dataValidation type="list" allowBlank="1" showInputMessage="1">
          <x14:formula1>
            <xm:f>Parameters!$D$23:$H$23</xm:f>
          </x14:formula1>
          <xm:sqref>J9</xm:sqref>
        </x14:dataValidation>
        <x14:dataValidation type="list" allowBlank="1" showInputMessage="1">
          <x14:formula1>
            <xm:f>Parameters!$D$57:$H$57</xm:f>
          </x14:formula1>
          <xm:sqref>D16:D18</xm:sqref>
        </x14:dataValidation>
        <x14:dataValidation type="list" allowBlank="1" showInputMessage="1">
          <x14:formula1>
            <xm:f>Parameters!$D$51:$H$51</xm:f>
          </x14:formula1>
          <xm:sqref>M19</xm:sqref>
        </x14:dataValidation>
        <x14:dataValidation type="list" allowBlank="1" showInputMessage="1">
          <x14:formula1>
            <xm:f>Parameters!$D$5:$H$5</xm:f>
          </x14:formula1>
          <xm:sqref>G7</xm:sqref>
        </x14:dataValidation>
        <x14:dataValidation type="list" allowBlank="1" showInputMessage="1">
          <x14:formula1>
            <xm:f>Parameters!$D$58:$H$58</xm:f>
          </x14:formula1>
          <xm:sqref>D19:D20</xm:sqref>
        </x14:dataValidation>
        <x14:dataValidation type="list" allowBlank="1" showInputMessage="1">
          <x14:formula1>
            <xm:f>Parameters!$D$55:$G$55</xm:f>
          </x14:formula1>
          <xm:sqref>D11</xm:sqref>
        </x14:dataValidation>
        <x14:dataValidation type="list" allowBlank="1" showInputMessage="1">
          <x14:formula1>
            <xm:f>Parameters!$D$6:$H$6</xm:f>
          </x14:formula1>
          <xm:sqref>G9</xm:sqref>
        </x14:dataValidation>
        <x14:dataValidation type="list" allowBlank="1" showInputMessage="1">
          <x14:formula1>
            <xm:f>Parameters!$D$13:$H$13</xm:f>
          </x14:formula1>
          <xm:sqref>J15:J16</xm:sqref>
        </x14:dataValidation>
        <x14:dataValidation type="list" allowBlank="1" showInputMessage="1">
          <x14:formula1>
            <xm:f>Parameters!$D$38:$H$38</xm:f>
          </x14:formula1>
          <xm:sqref>M10</xm:sqref>
        </x14:dataValidation>
        <x14:dataValidation type="list" allowBlank="1" showInputMessage="1">
          <x14:formula1>
            <xm:f>Parameters!$D$35:$H$35</xm:f>
          </x14:formula1>
          <xm:sqref>M7</xm:sqref>
        </x14:dataValidation>
      </x14:dataValidation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19"/>
  <sheetViews>
    <sheetView topLeftCell="A5" workbookViewId="0">
      <selection activeCell="P11" sqref="P11"/>
    </sheetView>
  </sheetViews>
  <sheetFormatPr defaultColWidth="8.85546875" defaultRowHeight="11.25" x14ac:dyDescent="0.2"/>
  <cols>
    <col min="1" max="1" width="1.42578125" style="232" customWidth="1"/>
    <col min="2" max="2" width="9.42578125" style="232" customWidth="1"/>
    <col min="3" max="3" width="14.4257812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39.42578125" style="232" customWidth="1"/>
    <col min="31" max="31" width="14.42578125" style="232" bestFit="1" customWidth="1"/>
    <col min="32" max="16384" width="8.85546875" style="232"/>
  </cols>
  <sheetData>
    <row r="1" spans="1:54"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row>
    <row r="2" spans="1:54"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245"/>
      <c r="AH2" s="245"/>
      <c r="AI2" s="245"/>
      <c r="AJ2" s="245"/>
      <c r="AK2" s="245"/>
      <c r="AL2" s="245"/>
      <c r="AM2" s="245"/>
      <c r="AN2" s="245"/>
      <c r="AO2" s="245"/>
      <c r="AP2" s="245"/>
      <c r="AQ2" s="245"/>
      <c r="AS2" s="231" t="s">
        <v>115</v>
      </c>
      <c r="AT2" s="231" t="s">
        <v>116</v>
      </c>
      <c r="AU2" s="231" t="s">
        <v>117</v>
      </c>
      <c r="AV2" s="231" t="s">
        <v>118</v>
      </c>
      <c r="AW2" s="231" t="s">
        <v>119</v>
      </c>
      <c r="AX2" s="231" t="s">
        <v>120</v>
      </c>
      <c r="AY2" s="231" t="s">
        <v>121</v>
      </c>
      <c r="AZ2" s="231" t="s">
        <v>139</v>
      </c>
      <c r="BA2" s="231" t="s">
        <v>123</v>
      </c>
    </row>
    <row r="3" spans="1:54"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245"/>
      <c r="AH3" s="245"/>
      <c r="AI3" s="245"/>
      <c r="AJ3" s="245"/>
      <c r="AK3" s="245"/>
      <c r="AL3" s="245"/>
      <c r="AM3" s="245"/>
      <c r="AN3" s="245"/>
      <c r="AO3" s="245"/>
      <c r="AP3" s="245"/>
      <c r="AQ3" s="245"/>
      <c r="AS3" s="231"/>
      <c r="AT3" s="231"/>
      <c r="AU3" s="231"/>
      <c r="AV3" s="231"/>
      <c r="AW3" s="231"/>
      <c r="AX3" s="231"/>
      <c r="AY3" s="231"/>
      <c r="AZ3" s="231"/>
      <c r="BA3" s="231"/>
    </row>
    <row r="4" spans="1:54" ht="40.700000000000003" customHeight="1" x14ac:dyDescent="0.25">
      <c r="A4" s="245"/>
      <c r="B4" s="790" t="s">
        <v>213</v>
      </c>
      <c r="C4" s="790"/>
      <c r="D4" s="790"/>
      <c r="E4" s="333"/>
      <c r="F4" s="792" t="s">
        <v>186</v>
      </c>
      <c r="G4" s="793"/>
      <c r="H4" s="248"/>
      <c r="I4" s="245"/>
      <c r="J4" s="245"/>
      <c r="K4" s="245"/>
      <c r="L4" s="245"/>
      <c r="M4" s="245"/>
      <c r="N4" s="276"/>
      <c r="O4" s="276"/>
      <c r="P4" s="276"/>
      <c r="Q4" s="329"/>
      <c r="R4" s="420" t="s">
        <v>171</v>
      </c>
      <c r="S4" s="420" t="s">
        <v>305</v>
      </c>
      <c r="T4" s="796" t="s">
        <v>304</v>
      </c>
      <c r="U4" s="796"/>
      <c r="V4" s="796" t="s">
        <v>173</v>
      </c>
      <c r="W4" s="797"/>
      <c r="X4" s="237"/>
      <c r="Y4" s="245"/>
      <c r="Z4" s="366" t="s">
        <v>291</v>
      </c>
      <c r="AA4" s="367"/>
      <c r="AB4" s="368"/>
      <c r="AC4" s="241"/>
      <c r="AD4" s="369" t="s">
        <v>292</v>
      </c>
      <c r="AE4" s="370"/>
      <c r="AF4" s="245"/>
      <c r="AG4" s="245"/>
      <c r="AH4" s="245"/>
      <c r="AI4" s="245"/>
      <c r="AJ4" s="245"/>
      <c r="AK4" s="245"/>
      <c r="AL4" s="245"/>
      <c r="AM4" s="245"/>
      <c r="AN4" s="245"/>
      <c r="AO4" s="245"/>
      <c r="AP4" s="245"/>
      <c r="AQ4" s="245"/>
      <c r="AS4" s="231">
        <v>0</v>
      </c>
      <c r="AT4" s="277">
        <f>Q37</f>
        <v>212.7659574468085</v>
      </c>
      <c r="AU4" s="277">
        <f>(1-$D$11)*AT4</f>
        <v>212.7659574468085</v>
      </c>
      <c r="AV4" s="277"/>
      <c r="AW4" s="231"/>
      <c r="AX4" s="231">
        <f>IF(ISNUMBER(AS5),SUM(AU4:AV4),SUM(AU4:AW4))</f>
        <v>212.7659574468085</v>
      </c>
      <c r="AY4" s="278">
        <f t="shared" ref="AY4:AY30" si="0">LN(AX4+$J$37)-LN($J$37)</f>
        <v>0.55626108810918407</v>
      </c>
      <c r="AZ4" s="231">
        <f>IF(ISNUMBER(AS4),AY4/(1+$D$7)^AS4,0)</f>
        <v>0.55626108810918407</v>
      </c>
      <c r="BA4" s="231"/>
    </row>
    <row r="5" spans="1:54" ht="10.7" customHeight="1" thickBot="1" x14ac:dyDescent="0.3">
      <c r="A5" s="245"/>
      <c r="B5" s="791"/>
      <c r="C5" s="791"/>
      <c r="D5" s="791"/>
      <c r="E5" s="332"/>
      <c r="F5" s="794"/>
      <c r="G5" s="795"/>
      <c r="H5" s="255"/>
      <c r="I5" s="255"/>
      <c r="J5" s="245"/>
      <c r="K5" s="245"/>
      <c r="L5" s="245"/>
      <c r="M5" s="245"/>
      <c r="N5" s="245"/>
      <c r="O5" s="245"/>
      <c r="P5" s="245"/>
      <c r="Q5" s="419" t="s">
        <v>189</v>
      </c>
      <c r="R5" s="423">
        <f>D37/(1+D7)^10</f>
        <v>0.26900000000000002</v>
      </c>
      <c r="S5" s="423" t="e">
        <f>R5*(1-1/(1+D7)^G16)/(1-1/(1+D7))</f>
        <v>#DIV/0!</v>
      </c>
      <c r="T5" s="798" t="e">
        <f>S5*G11*G7*G9*G18*G8/G37</f>
        <v>#DIV/0!</v>
      </c>
      <c r="U5" s="798"/>
      <c r="V5" s="799">
        <f>$G$14*$G$10</f>
        <v>0</v>
      </c>
      <c r="W5" s="800"/>
      <c r="X5" s="237"/>
      <c r="Y5" s="245"/>
      <c r="Z5" s="354" t="s">
        <v>409</v>
      </c>
      <c r="AA5" s="355"/>
      <c r="AB5" s="356"/>
      <c r="AC5" s="246"/>
      <c r="AD5" s="237"/>
      <c r="AE5" s="243"/>
      <c r="AF5" s="245"/>
      <c r="AG5" s="245"/>
      <c r="AH5" s="245"/>
      <c r="AI5" s="245"/>
      <c r="AJ5" s="245"/>
      <c r="AK5" s="245"/>
      <c r="AL5" s="245"/>
      <c r="AM5" s="245"/>
      <c r="AN5" s="245"/>
      <c r="AO5" s="245"/>
      <c r="AP5" s="245"/>
      <c r="AQ5" s="245"/>
      <c r="AS5" s="231" t="str">
        <f t="shared" ref="AS5:AS68" si="1">IF(AS4&lt;$D$14,AS4+1,"")</f>
        <v/>
      </c>
      <c r="AT5" s="277">
        <f>AT4-AU4</f>
        <v>0</v>
      </c>
      <c r="AU5" s="277"/>
      <c r="AV5" s="277">
        <f t="shared" ref="AV5:AV71" si="2">$D$10*AT5</f>
        <v>0</v>
      </c>
      <c r="AW5" s="277">
        <f>AT5</f>
        <v>0</v>
      </c>
      <c r="AX5" s="231">
        <f t="shared" ref="AX5:AX14" si="3">IF(ISNUMBER(AS6),SUM(AU5:AV5),SUM(AU5:AW5))</f>
        <v>0</v>
      </c>
      <c r="AY5" s="278">
        <f t="shared" si="0"/>
        <v>0</v>
      </c>
      <c r="AZ5" s="231">
        <f t="shared" ref="AZ5:AZ71" si="4">IF(ISNUMBER(AS5),AY5/(1+$D$7)^AS5,0)</f>
        <v>0</v>
      </c>
      <c r="BA5" s="231">
        <f>SUM(AZ5:AZ114)</f>
        <v>0</v>
      </c>
      <c r="BB5" s="232">
        <f>SUM(AZ5:AZ23)</f>
        <v>0</v>
      </c>
    </row>
    <row r="6" spans="1:54" ht="15" x14ac:dyDescent="0.25">
      <c r="A6" s="245"/>
      <c r="B6" s="241"/>
      <c r="C6" s="809" t="s">
        <v>12</v>
      </c>
      <c r="D6" s="809"/>
      <c r="E6" s="270"/>
      <c r="F6" s="347" t="s">
        <v>13</v>
      </c>
      <c r="G6" s="348"/>
      <c r="H6" s="271"/>
      <c r="I6" s="809" t="s">
        <v>39</v>
      </c>
      <c r="J6" s="809"/>
      <c r="K6" s="271"/>
      <c r="L6" s="810" t="s">
        <v>168</v>
      </c>
      <c r="M6" s="810"/>
      <c r="N6" s="242"/>
      <c r="O6" s="237"/>
      <c r="P6" s="245"/>
      <c r="Q6" s="419" t="s">
        <v>190</v>
      </c>
      <c r="R6" s="423">
        <f>(M15*M11)/(1+D7)^10</f>
        <v>0</v>
      </c>
      <c r="S6" s="423" t="e">
        <f>R6*(1-1/(1+D7)^G16)/(1-1/(1+D7))</f>
        <v>#DIV/0!</v>
      </c>
      <c r="T6" s="798" t="e">
        <f>S6*M8*M9*M14*(W37/V37)*G11</f>
        <v>#DIV/0!</v>
      </c>
      <c r="U6" s="798"/>
      <c r="V6" s="799">
        <v>0</v>
      </c>
      <c r="W6" s="811"/>
      <c r="X6" s="237"/>
      <c r="Y6" s="245"/>
      <c r="Z6" s="357" t="s">
        <v>42</v>
      </c>
      <c r="AA6" s="358"/>
      <c r="AB6" s="359">
        <f>$G$7*$G$8*$G$9*G$18*$J7</f>
        <v>0</v>
      </c>
      <c r="AC6" s="246"/>
      <c r="AD6" s="929" t="s">
        <v>411</v>
      </c>
      <c r="AE6" s="927">
        <f>G10</f>
        <v>0</v>
      </c>
      <c r="AF6" s="245"/>
      <c r="AG6" s="245"/>
      <c r="AH6" s="245"/>
      <c r="AI6" s="245"/>
      <c r="AJ6" s="245"/>
      <c r="AK6" s="245"/>
      <c r="AL6" s="245"/>
      <c r="AM6" s="245"/>
      <c r="AN6" s="245"/>
      <c r="AO6" s="245"/>
      <c r="AP6" s="245"/>
      <c r="AQ6" s="245"/>
      <c r="AS6" s="231" t="str">
        <f t="shared" si="1"/>
        <v/>
      </c>
      <c r="AT6" s="277">
        <f t="shared" ref="AT6:AT72" si="5">IF(ISNUMBER(AS6),AW5,0)</f>
        <v>0</v>
      </c>
      <c r="AU6" s="277"/>
      <c r="AV6" s="277">
        <f t="shared" si="2"/>
        <v>0</v>
      </c>
      <c r="AW6" s="277">
        <f t="shared" ref="AW6:AW72" si="6">AT6</f>
        <v>0</v>
      </c>
      <c r="AX6" s="231">
        <f t="shared" si="3"/>
        <v>0</v>
      </c>
      <c r="AY6" s="278">
        <f t="shared" si="0"/>
        <v>0</v>
      </c>
      <c r="AZ6" s="231">
        <f t="shared" si="4"/>
        <v>0</v>
      </c>
      <c r="BA6" s="231"/>
    </row>
    <row r="7" spans="1:54" ht="20.45" customHeight="1" x14ac:dyDescent="0.25">
      <c r="A7" s="245"/>
      <c r="B7" s="801" t="s">
        <v>45</v>
      </c>
      <c r="C7" s="299" t="s">
        <v>0</v>
      </c>
      <c r="D7" s="139"/>
      <c r="E7" s="233"/>
      <c r="F7" s="319" t="s">
        <v>4</v>
      </c>
      <c r="G7" s="335"/>
      <c r="H7" s="235"/>
      <c r="I7" s="319" t="s">
        <v>8</v>
      </c>
      <c r="J7" s="378"/>
      <c r="K7" s="312"/>
      <c r="L7" s="319" t="s">
        <v>175</v>
      </c>
      <c r="M7" s="322"/>
      <c r="N7" s="243"/>
      <c r="O7" s="237"/>
      <c r="P7" s="245"/>
      <c r="Q7" s="246"/>
      <c r="R7" s="237"/>
      <c r="S7" s="237"/>
      <c r="T7" s="237"/>
      <c r="U7" s="316"/>
      <c r="V7" s="237"/>
      <c r="W7" s="243"/>
      <c r="X7" s="237"/>
      <c r="Y7" s="245"/>
      <c r="Z7" s="357" t="s">
        <v>32</v>
      </c>
      <c r="AA7" s="358"/>
      <c r="AB7" s="359">
        <f>$G$7*$G$8*$G$9*G$18*$J8</f>
        <v>0</v>
      </c>
      <c r="AC7" s="246"/>
      <c r="AD7" s="930"/>
      <c r="AE7" s="928"/>
      <c r="AF7" s="245"/>
      <c r="AG7" s="245"/>
      <c r="AH7" s="245"/>
      <c r="AI7" s="245"/>
      <c r="AJ7" s="245"/>
      <c r="AK7" s="245"/>
      <c r="AL7" s="245"/>
      <c r="AM7" s="245"/>
      <c r="AN7" s="245"/>
      <c r="AO7" s="245"/>
      <c r="AP7" s="245"/>
      <c r="AQ7" s="245"/>
      <c r="AS7" s="231" t="str">
        <f t="shared" si="1"/>
        <v/>
      </c>
      <c r="AT7" s="277">
        <f>IF(ISNUMBER(AS7),AW6,0)</f>
        <v>0</v>
      </c>
      <c r="AU7" s="277"/>
      <c r="AV7" s="277">
        <f t="shared" si="2"/>
        <v>0</v>
      </c>
      <c r="AW7" s="277">
        <f t="shared" si="6"/>
        <v>0</v>
      </c>
      <c r="AX7" s="231">
        <f t="shared" si="3"/>
        <v>0</v>
      </c>
      <c r="AY7" s="278">
        <f t="shared" si="0"/>
        <v>0</v>
      </c>
      <c r="AZ7" s="231">
        <f t="shared" si="4"/>
        <v>0</v>
      </c>
      <c r="BA7" s="231"/>
    </row>
    <row r="8" spans="1:54" ht="24.95" customHeight="1" thickBot="1" x14ac:dyDescent="0.3">
      <c r="A8" s="245"/>
      <c r="B8" s="801"/>
      <c r="C8" s="293"/>
      <c r="D8" s="293"/>
      <c r="E8" s="272"/>
      <c r="F8" s="321" t="s">
        <v>6</v>
      </c>
      <c r="G8" s="244"/>
      <c r="H8" s="236"/>
      <c r="I8" s="310" t="s">
        <v>9</v>
      </c>
      <c r="J8" s="376"/>
      <c r="K8" s="313"/>
      <c r="L8" s="310" t="s">
        <v>169</v>
      </c>
      <c r="M8" s="311"/>
      <c r="N8" s="243"/>
      <c r="O8" s="237"/>
      <c r="P8" s="245"/>
      <c r="Q8" s="802" t="s">
        <v>191</v>
      </c>
      <c r="R8" s="237"/>
      <c r="S8" s="422" t="s">
        <v>306</v>
      </c>
      <c r="T8" s="803" t="s">
        <v>34</v>
      </c>
      <c r="U8" s="803"/>
      <c r="V8" s="803" t="s">
        <v>152</v>
      </c>
      <c r="W8" s="804"/>
      <c r="X8" s="237"/>
      <c r="Y8" s="245"/>
      <c r="Z8" s="357" t="s">
        <v>38</v>
      </c>
      <c r="AA8" s="358"/>
      <c r="AB8" s="359" t="e">
        <f>$G$7*$G$8*$G$9*G$18/M18</f>
        <v>#DIV/0!</v>
      </c>
      <c r="AC8" s="371"/>
      <c r="AD8" s="372" t="s">
        <v>412</v>
      </c>
      <c r="AE8" s="373" t="e">
        <f>(AE6*U37)/S5</f>
        <v>#DIV/0!</v>
      </c>
      <c r="AF8" s="245"/>
      <c r="AG8" s="245"/>
      <c r="AH8" s="245"/>
      <c r="AI8" s="245"/>
      <c r="AJ8" s="245"/>
      <c r="AK8" s="245"/>
      <c r="AL8" s="245"/>
      <c r="AM8" s="245"/>
      <c r="AN8" s="245"/>
      <c r="AO8" s="245"/>
      <c r="AP8" s="245"/>
      <c r="AQ8" s="245"/>
      <c r="AS8" s="231" t="str">
        <f t="shared" si="1"/>
        <v/>
      </c>
      <c r="AT8" s="277">
        <f t="shared" si="5"/>
        <v>0</v>
      </c>
      <c r="AU8" s="277"/>
      <c r="AV8" s="277">
        <f t="shared" si="2"/>
        <v>0</v>
      </c>
      <c r="AW8" s="277">
        <f t="shared" si="6"/>
        <v>0</v>
      </c>
      <c r="AX8" s="231">
        <f t="shared" si="3"/>
        <v>0</v>
      </c>
      <c r="AY8" s="278">
        <f t="shared" si="0"/>
        <v>0</v>
      </c>
      <c r="AZ8" s="231">
        <f t="shared" si="4"/>
        <v>0</v>
      </c>
      <c r="BA8" s="231"/>
    </row>
    <row r="9" spans="1:54" ht="33.75" x14ac:dyDescent="0.25">
      <c r="A9" s="245"/>
      <c r="B9" s="801"/>
      <c r="C9" s="805" t="s">
        <v>14</v>
      </c>
      <c r="D9" s="805"/>
      <c r="E9" s="233"/>
      <c r="F9" s="310" t="s">
        <v>146</v>
      </c>
      <c r="G9" s="311"/>
      <c r="H9" s="236"/>
      <c r="I9" s="310" t="s">
        <v>164</v>
      </c>
      <c r="J9" s="376"/>
      <c r="K9" s="313"/>
      <c r="L9" s="310" t="s">
        <v>170</v>
      </c>
      <c r="M9" s="311"/>
      <c r="N9" s="243"/>
      <c r="O9" s="237"/>
      <c r="P9" s="245"/>
      <c r="Q9" s="802"/>
      <c r="R9" s="252" t="s">
        <v>44</v>
      </c>
      <c r="S9" s="433" t="e">
        <f>J11*($T$5*AB13*J14*J7+$V$5*(J7*$G$13))</f>
        <v>#DIV/0!</v>
      </c>
      <c r="T9" s="806" t="e">
        <f>S9/(J16/J9)</f>
        <v>#DIV/0!</v>
      </c>
      <c r="U9" s="806"/>
      <c r="V9" s="807" t="e">
        <f>($G$10*$U$37)/T9</f>
        <v>#DIV/0!</v>
      </c>
      <c r="W9" s="808"/>
      <c r="X9" s="237"/>
      <c r="Y9" s="384"/>
      <c r="Z9" s="812" t="s">
        <v>288</v>
      </c>
      <c r="AA9" s="813"/>
      <c r="AB9" s="408"/>
      <c r="AC9" s="245"/>
      <c r="AD9" s="245"/>
      <c r="AE9" s="385"/>
      <c r="AF9" s="245"/>
      <c r="AG9" s="245"/>
      <c r="AH9" s="245"/>
      <c r="AI9" s="245"/>
      <c r="AJ9" s="245"/>
      <c r="AK9" s="245"/>
      <c r="AL9" s="245"/>
      <c r="AM9" s="245"/>
      <c r="AN9" s="245"/>
      <c r="AO9" s="245"/>
      <c r="AP9" s="245"/>
      <c r="AQ9" s="245"/>
      <c r="AS9" s="231" t="str">
        <f t="shared" si="1"/>
        <v/>
      </c>
      <c r="AT9" s="277">
        <f t="shared" si="5"/>
        <v>0</v>
      </c>
      <c r="AU9" s="277"/>
      <c r="AV9" s="277">
        <f t="shared" si="2"/>
        <v>0</v>
      </c>
      <c r="AW9" s="277">
        <f t="shared" si="6"/>
        <v>0</v>
      </c>
      <c r="AX9" s="231">
        <f>IF(ISNUMBER(AS10),SUM(AU9:AV9),SUM(AU9:AW9))</f>
        <v>0</v>
      </c>
      <c r="AY9" s="278">
        <f t="shared" si="0"/>
        <v>0</v>
      </c>
      <c r="AZ9" s="231">
        <f t="shared" si="4"/>
        <v>0</v>
      </c>
      <c r="BA9" s="231"/>
    </row>
    <row r="10" spans="1:54" ht="39.75" customHeight="1" x14ac:dyDescent="0.25">
      <c r="A10" s="245"/>
      <c r="B10" s="801"/>
      <c r="C10" s="290" t="s">
        <v>3</v>
      </c>
      <c r="D10" s="291"/>
      <c r="E10" s="283"/>
      <c r="F10" s="310" t="s">
        <v>323</v>
      </c>
      <c r="G10" s="466"/>
      <c r="H10" s="284"/>
      <c r="I10" s="310" t="s">
        <v>165</v>
      </c>
      <c r="J10" s="376"/>
      <c r="K10" s="313"/>
      <c r="L10" s="310" t="s">
        <v>184</v>
      </c>
      <c r="M10" s="311"/>
      <c r="N10" s="243"/>
      <c r="O10" s="237"/>
      <c r="P10" s="245"/>
      <c r="Q10" s="802"/>
      <c r="R10" s="252" t="s">
        <v>496</v>
      </c>
      <c r="S10" s="433" t="e">
        <f>J18*($T$5*AB14*J15*J8+$V$5*(J8*$G$13))</f>
        <v>#DIV/0!</v>
      </c>
      <c r="T10" s="806" t="e">
        <f>S10/(J17/J10)</f>
        <v>#DIV/0!</v>
      </c>
      <c r="U10" s="806"/>
      <c r="V10" s="807" t="e">
        <f>($G$10*$U$37)/T10</f>
        <v>#DIV/0!</v>
      </c>
      <c r="W10" s="808"/>
      <c r="X10" s="237"/>
      <c r="Y10" s="245"/>
      <c r="Z10" s="814" t="s">
        <v>450</v>
      </c>
      <c r="AA10" s="815"/>
      <c r="AB10" s="374"/>
      <c r="AC10" s="245"/>
      <c r="AD10" s="384"/>
      <c r="AE10" s="385"/>
      <c r="AF10" s="245"/>
      <c r="AG10" s="245"/>
      <c r="AH10" s="245"/>
      <c r="AI10" s="245"/>
      <c r="AJ10" s="245"/>
      <c r="AK10" s="245"/>
      <c r="AL10" s="245"/>
      <c r="AM10" s="245"/>
      <c r="AN10" s="245"/>
      <c r="AO10" s="245"/>
      <c r="AP10" s="245"/>
      <c r="AQ10" s="245"/>
      <c r="AS10" s="231" t="str">
        <f t="shared" si="1"/>
        <v/>
      </c>
      <c r="AT10" s="277">
        <f>IF(ISNUMBER(AS10),AW9,0)</f>
        <v>0</v>
      </c>
      <c r="AU10" s="277"/>
      <c r="AV10" s="277">
        <f t="shared" si="2"/>
        <v>0</v>
      </c>
      <c r="AW10" s="277">
        <f t="shared" si="6"/>
        <v>0</v>
      </c>
      <c r="AX10" s="231">
        <f>IF(ISNUMBER(AS11),SUM(AU10:AV10),SUM(AU10:AW10))</f>
        <v>0</v>
      </c>
      <c r="AY10" s="278">
        <f t="shared" si="0"/>
        <v>0</v>
      </c>
      <c r="AZ10" s="231">
        <f t="shared" si="4"/>
        <v>0</v>
      </c>
      <c r="BA10" s="231"/>
    </row>
    <row r="11" spans="1:54" ht="33" customHeight="1" x14ac:dyDescent="0.25">
      <c r="A11" s="245"/>
      <c r="B11" s="801"/>
      <c r="C11" s="296" t="s">
        <v>5</v>
      </c>
      <c r="D11" s="297"/>
      <c r="E11" s="234"/>
      <c r="F11" s="310" t="s">
        <v>301</v>
      </c>
      <c r="G11" s="466"/>
      <c r="H11" s="237"/>
      <c r="I11" s="310" t="s">
        <v>322</v>
      </c>
      <c r="J11" s="376"/>
      <c r="K11" s="313"/>
      <c r="L11" s="310" t="s">
        <v>183</v>
      </c>
      <c r="M11" s="311"/>
      <c r="N11" s="243"/>
      <c r="O11" s="245"/>
      <c r="P11" s="245"/>
      <c r="Q11" s="802"/>
      <c r="R11" s="252" t="s">
        <v>38</v>
      </c>
      <c r="S11" s="433" t="s">
        <v>408</v>
      </c>
      <c r="T11" s="806" t="e">
        <f>(1/S37)*(1/M18)*T5*AB15+(1/R37)*U37*G10</f>
        <v>#DIV/0!</v>
      </c>
      <c r="U11" s="806" t="e">
        <f>(1/S37)*(1/M18)*T5+1/R37*(G10*S5)</f>
        <v>#DIV/0!</v>
      </c>
      <c r="V11" s="807" t="e">
        <f>($G$10*$U$37)/T11</f>
        <v>#DIV/0!</v>
      </c>
      <c r="W11" s="808"/>
      <c r="X11" s="237"/>
      <c r="Y11" s="245"/>
      <c r="Z11" s="246"/>
      <c r="AA11" s="237"/>
      <c r="AB11" s="243"/>
      <c r="AC11" s="245"/>
      <c r="AD11" s="245"/>
      <c r="AE11" s="245"/>
      <c r="AF11" s="245"/>
      <c r="AG11" s="245"/>
      <c r="AH11" s="245"/>
      <c r="AI11" s="245"/>
      <c r="AJ11" s="245"/>
      <c r="AK11" s="245"/>
      <c r="AL11" s="245"/>
      <c r="AM11" s="245"/>
      <c r="AN11" s="245"/>
      <c r="AO11" s="245"/>
      <c r="AP11" s="245"/>
      <c r="AQ11" s="245"/>
      <c r="AS11" s="231" t="str">
        <f t="shared" si="1"/>
        <v/>
      </c>
      <c r="AT11" s="277">
        <f>IF(ISNUMBER(AS11),AW10,0)</f>
        <v>0</v>
      </c>
      <c r="AU11" s="277"/>
      <c r="AV11" s="277">
        <f t="shared" si="2"/>
        <v>0</v>
      </c>
      <c r="AW11" s="277">
        <f t="shared" si="6"/>
        <v>0</v>
      </c>
      <c r="AX11" s="231">
        <f>IF(ISNUMBER(AS12),SUM(AU11:AV11),SUM(AU11:AW11))</f>
        <v>0</v>
      </c>
      <c r="AY11" s="278">
        <f t="shared" si="0"/>
        <v>0</v>
      </c>
      <c r="AZ11" s="231">
        <f t="shared" si="4"/>
        <v>0</v>
      </c>
      <c r="BA11" s="231"/>
    </row>
    <row r="12" spans="1:54" ht="22.7" customHeight="1" thickBot="1" x14ac:dyDescent="0.3">
      <c r="A12" s="245"/>
      <c r="B12" s="246"/>
      <c r="C12" s="240"/>
      <c r="D12" s="239"/>
      <c r="E12" s="233"/>
      <c r="F12" s="387"/>
      <c r="G12" s="388"/>
      <c r="H12" s="240"/>
      <c r="I12" s="240"/>
      <c r="J12" s="377"/>
      <c r="K12" s="237"/>
      <c r="L12" s="310" t="s">
        <v>177</v>
      </c>
      <c r="M12" s="311"/>
      <c r="N12" s="243"/>
      <c r="O12" s="237"/>
      <c r="P12" s="245"/>
      <c r="Q12" s="292"/>
      <c r="R12" s="252" t="s">
        <v>174</v>
      </c>
      <c r="S12" s="425" t="e">
        <f>T6*M12</f>
        <v>#DIV/0!</v>
      </c>
      <c r="T12" s="806" t="e">
        <f>M13*S12/(M7/M10)</f>
        <v>#DIV/0!</v>
      </c>
      <c r="U12" s="806"/>
      <c r="V12" s="833" t="s">
        <v>408</v>
      </c>
      <c r="W12" s="834"/>
      <c r="X12" s="237"/>
      <c r="Y12" s="245"/>
      <c r="Z12" s="360" t="s">
        <v>287</v>
      </c>
      <c r="AA12" s="355"/>
      <c r="AB12" s="361"/>
      <c r="AC12" s="245"/>
      <c r="AD12" s="245"/>
      <c r="AE12" s="245"/>
      <c r="AF12" s="245"/>
      <c r="AG12" s="245"/>
      <c r="AH12" s="245"/>
      <c r="AI12" s="245"/>
      <c r="AJ12" s="245"/>
      <c r="AK12" s="245"/>
      <c r="AL12" s="245"/>
      <c r="AM12" s="245"/>
      <c r="AN12" s="245"/>
      <c r="AO12" s="245"/>
      <c r="AP12" s="245"/>
      <c r="AQ12" s="245"/>
      <c r="AS12" s="231" t="str">
        <f t="shared" si="1"/>
        <v/>
      </c>
      <c r="AT12" s="277">
        <f>IF(ISNUMBER(AS12),AW11,0)</f>
        <v>0</v>
      </c>
      <c r="AU12" s="277"/>
      <c r="AV12" s="277">
        <f t="shared" si="2"/>
        <v>0</v>
      </c>
      <c r="AW12" s="277">
        <f t="shared" si="6"/>
        <v>0</v>
      </c>
      <c r="AX12" s="231">
        <f>IF(ISNUMBER(AS13),SUM(AU12:AV12),SUM(AU12:AW12))</f>
        <v>0</v>
      </c>
      <c r="AY12" s="278">
        <f t="shared" si="0"/>
        <v>0</v>
      </c>
      <c r="AZ12" s="231">
        <f t="shared" si="4"/>
        <v>0</v>
      </c>
      <c r="BA12" s="231"/>
    </row>
    <row r="13" spans="1:54" ht="30.75" customHeight="1" x14ac:dyDescent="0.25">
      <c r="A13" s="245"/>
      <c r="B13" s="246"/>
      <c r="C13" s="240"/>
      <c r="D13" s="239"/>
      <c r="E13" s="233"/>
      <c r="F13" s="386" t="s">
        <v>435</v>
      </c>
      <c r="G13" s="467"/>
      <c r="H13" s="237"/>
      <c r="I13" s="240"/>
      <c r="J13" s="377"/>
      <c r="K13" s="237"/>
      <c r="L13" s="310" t="s">
        <v>176</v>
      </c>
      <c r="M13" s="311"/>
      <c r="N13" s="243"/>
      <c r="O13" s="237"/>
      <c r="P13" s="245"/>
      <c r="Q13" s="840" t="s">
        <v>410</v>
      </c>
      <c r="R13" s="420" t="s">
        <v>148</v>
      </c>
      <c r="S13" s="420" t="s">
        <v>35</v>
      </c>
      <c r="T13" s="796" t="s">
        <v>36</v>
      </c>
      <c r="U13" s="796"/>
      <c r="V13" s="796" t="s">
        <v>34</v>
      </c>
      <c r="W13" s="797"/>
      <c r="X13" s="237"/>
      <c r="Y13" s="245"/>
      <c r="Z13" s="357" t="s">
        <v>42</v>
      </c>
      <c r="AA13" s="358"/>
      <c r="AB13" s="362" t="e">
        <f>IF($AB$10="Yes",MAX(AB6,$AB$9),AB6)/AB6</f>
        <v>#DIV/0!</v>
      </c>
      <c r="AC13" s="245"/>
      <c r="AD13" s="245"/>
      <c r="AE13" s="245"/>
      <c r="AF13" s="245"/>
      <c r="AG13" s="245"/>
      <c r="AH13" s="245"/>
      <c r="AI13" s="245"/>
      <c r="AJ13" s="245"/>
      <c r="AK13" s="245"/>
      <c r="AL13" s="245"/>
      <c r="AM13" s="245"/>
      <c r="AN13" s="245"/>
      <c r="AO13" s="245"/>
      <c r="AP13" s="245"/>
      <c r="AQ13" s="245"/>
      <c r="AS13" s="231" t="str">
        <f t="shared" si="1"/>
        <v/>
      </c>
      <c r="AT13" s="277">
        <f>IF(ISNUMBER(AS13),AW12,0)</f>
        <v>0</v>
      </c>
      <c r="AU13" s="277"/>
      <c r="AV13" s="277">
        <f t="shared" si="2"/>
        <v>0</v>
      </c>
      <c r="AW13" s="277">
        <f t="shared" si="6"/>
        <v>0</v>
      </c>
      <c r="AX13" s="231">
        <f t="shared" si="3"/>
        <v>0</v>
      </c>
      <c r="AY13" s="278">
        <f t="shared" si="0"/>
        <v>0</v>
      </c>
      <c r="AZ13" s="231">
        <f t="shared" si="4"/>
        <v>0</v>
      </c>
      <c r="BA13" s="231"/>
    </row>
    <row r="14" spans="1:54" ht="21" customHeight="1" thickBot="1" x14ac:dyDescent="0.3">
      <c r="A14" s="245"/>
      <c r="B14" s="931" t="s">
        <v>214</v>
      </c>
      <c r="C14" s="836" t="s">
        <v>1</v>
      </c>
      <c r="D14" s="917"/>
      <c r="E14" s="234"/>
      <c r="F14" s="836" t="s">
        <v>2</v>
      </c>
      <c r="G14" s="917"/>
      <c r="H14" s="237"/>
      <c r="I14" s="298" t="s">
        <v>11</v>
      </c>
      <c r="J14" s="379"/>
      <c r="K14" s="314"/>
      <c r="L14" s="310" t="s">
        <v>178</v>
      </c>
      <c r="M14" s="311"/>
      <c r="N14" s="243"/>
      <c r="O14" s="237"/>
      <c r="P14" s="245"/>
      <c r="Q14" s="802"/>
      <c r="R14" s="421">
        <f>BA5</f>
        <v>0</v>
      </c>
      <c r="S14" s="421">
        <f>AZ4</f>
        <v>0.55626108810918407</v>
      </c>
      <c r="T14" s="835">
        <f>R14+S14</f>
        <v>0.55626108810918407</v>
      </c>
      <c r="U14" s="835"/>
      <c r="V14" s="806" t="e">
        <f>T14/('2015 Model'!Q37/'2015 Model'!D16)</f>
        <v>#DIV/0!</v>
      </c>
      <c r="W14" s="893"/>
      <c r="X14" s="237"/>
      <c r="Y14" s="384"/>
      <c r="Z14" s="357" t="s">
        <v>32</v>
      </c>
      <c r="AA14" s="358"/>
      <c r="AB14" s="362" t="e">
        <f>IF($AB$10="Yes",MAX(AB7,$AB$9),AB7)/AB7</f>
        <v>#DIV/0!</v>
      </c>
      <c r="AC14" s="245"/>
      <c r="AD14" s="245"/>
      <c r="AE14" s="245"/>
      <c r="AF14" s="245"/>
      <c r="AG14" s="245"/>
      <c r="AH14" s="245"/>
      <c r="AI14" s="245"/>
      <c r="AJ14" s="245"/>
      <c r="AK14" s="245"/>
      <c r="AL14" s="245"/>
      <c r="AM14" s="245"/>
      <c r="AN14" s="245"/>
      <c r="AO14" s="245"/>
      <c r="AP14" s="245"/>
      <c r="AQ14" s="245"/>
      <c r="AS14" s="231" t="str">
        <f t="shared" si="1"/>
        <v/>
      </c>
      <c r="AT14" s="277">
        <f t="shared" si="5"/>
        <v>0</v>
      </c>
      <c r="AU14" s="277"/>
      <c r="AV14" s="277">
        <f t="shared" si="2"/>
        <v>0</v>
      </c>
      <c r="AW14" s="277">
        <f t="shared" si="6"/>
        <v>0</v>
      </c>
      <c r="AX14" s="231">
        <f t="shared" si="3"/>
        <v>0</v>
      </c>
      <c r="AY14" s="278">
        <f t="shared" si="0"/>
        <v>0</v>
      </c>
      <c r="AZ14" s="231">
        <f t="shared" si="4"/>
        <v>0</v>
      </c>
      <c r="BA14" s="231"/>
    </row>
    <row r="15" spans="1:54" ht="21" customHeight="1" thickBot="1" x14ac:dyDescent="0.3">
      <c r="A15" s="245"/>
      <c r="B15" s="931"/>
      <c r="C15" s="837"/>
      <c r="D15" s="918"/>
      <c r="E15" s="234"/>
      <c r="F15" s="837"/>
      <c r="G15" s="918"/>
      <c r="H15" s="237"/>
      <c r="I15" s="298" t="s">
        <v>10</v>
      </c>
      <c r="J15" s="380"/>
      <c r="K15" s="314"/>
      <c r="L15" s="320" t="s">
        <v>181</v>
      </c>
      <c r="M15" s="334"/>
      <c r="N15" s="243"/>
      <c r="O15" s="237"/>
      <c r="P15" s="245"/>
      <c r="Q15" s="418" t="s">
        <v>417</v>
      </c>
      <c r="R15" s="412"/>
      <c r="S15" s="417" t="s">
        <v>33</v>
      </c>
      <c r="T15" s="845" t="s">
        <v>32</v>
      </c>
      <c r="U15" s="846"/>
      <c r="V15" s="417" t="s">
        <v>38</v>
      </c>
      <c r="W15" s="427" t="s">
        <v>48</v>
      </c>
      <c r="X15" s="237"/>
      <c r="Y15" s="384"/>
      <c r="Z15" s="363" t="s">
        <v>38</v>
      </c>
      <c r="AA15" s="364"/>
      <c r="AB15" s="365" t="e">
        <f>IF($AB$10="Yes",MAX(AB8,$AB$9),AB8)/AB8</f>
        <v>#DIV/0!</v>
      </c>
      <c r="AC15" s="245"/>
      <c r="AD15" s="245"/>
      <c r="AE15" s="245"/>
      <c r="AF15" s="245"/>
      <c r="AG15" s="245"/>
      <c r="AH15" s="245"/>
      <c r="AI15" s="245"/>
      <c r="AJ15" s="245"/>
      <c r="AK15" s="245"/>
      <c r="AL15" s="245"/>
      <c r="AM15" s="245"/>
      <c r="AN15" s="245"/>
      <c r="AO15" s="245"/>
      <c r="AP15" s="245"/>
      <c r="AQ15" s="245"/>
      <c r="AS15" s="231" t="str">
        <f t="shared" si="1"/>
        <v/>
      </c>
      <c r="AT15" s="277">
        <f t="shared" si="5"/>
        <v>0</v>
      </c>
      <c r="AU15" s="277"/>
      <c r="AV15" s="277">
        <f t="shared" si="2"/>
        <v>0</v>
      </c>
      <c r="AW15" s="277">
        <f t="shared" si="6"/>
        <v>0</v>
      </c>
      <c r="AX15" s="231">
        <f>IF(ISNUMBER(AS16),SUM(AU15:AV15),SUM(AU15:AW15))</f>
        <v>0</v>
      </c>
      <c r="AY15" s="278">
        <f t="shared" si="0"/>
        <v>0</v>
      </c>
      <c r="AZ15" s="231">
        <f t="shared" si="4"/>
        <v>0</v>
      </c>
      <c r="BA15" s="231"/>
    </row>
    <row r="16" spans="1:54" ht="21" customHeight="1" x14ac:dyDescent="0.25">
      <c r="A16" s="245"/>
      <c r="B16" s="931"/>
      <c r="C16" s="841" t="s">
        <v>19</v>
      </c>
      <c r="D16" s="933"/>
      <c r="E16" s="234"/>
      <c r="F16" s="841" t="s">
        <v>216</v>
      </c>
      <c r="G16" s="916"/>
      <c r="H16" s="237"/>
      <c r="I16" s="294" t="s">
        <v>28</v>
      </c>
      <c r="J16" s="381"/>
      <c r="K16" s="315"/>
      <c r="L16" s="237"/>
      <c r="M16" s="237"/>
      <c r="N16" s="243"/>
      <c r="O16" s="237"/>
      <c r="P16" s="245"/>
      <c r="Q16" s="419"/>
      <c r="R16" s="410" t="s">
        <v>414</v>
      </c>
      <c r="S16" s="453" t="e">
        <f>$T9/$T$9</f>
        <v>#DIV/0!</v>
      </c>
      <c r="T16" s="851" t="e">
        <f>$T9/$T$10</f>
        <v>#DIV/0!</v>
      </c>
      <c r="U16" s="852"/>
      <c r="V16" s="453" t="e">
        <f>$T9/$T$11</f>
        <v>#DIV/0!</v>
      </c>
      <c r="W16" s="454" t="e">
        <f>$T9/$V$14</f>
        <v>#DIV/0!</v>
      </c>
      <c r="X16" s="237"/>
      <c r="Y16" s="384"/>
      <c r="Z16" s="245"/>
      <c r="AA16" s="245"/>
      <c r="AB16" s="245"/>
      <c r="AC16" s="245"/>
      <c r="AD16" s="245"/>
      <c r="AE16" s="245"/>
      <c r="AF16" s="245"/>
      <c r="AG16" s="245"/>
      <c r="AH16" s="245"/>
      <c r="AI16" s="245"/>
      <c r="AJ16" s="245"/>
      <c r="AK16" s="245"/>
      <c r="AL16" s="245"/>
      <c r="AM16" s="245"/>
      <c r="AN16" s="245"/>
      <c r="AO16" s="245"/>
      <c r="AP16" s="245"/>
      <c r="AQ16" s="245"/>
      <c r="AS16" s="231" t="str">
        <f t="shared" si="1"/>
        <v/>
      </c>
      <c r="AT16" s="277">
        <f t="shared" si="5"/>
        <v>0</v>
      </c>
      <c r="AU16" s="277"/>
      <c r="AV16" s="277">
        <f t="shared" si="2"/>
        <v>0</v>
      </c>
      <c r="AW16" s="277">
        <f t="shared" si="6"/>
        <v>0</v>
      </c>
      <c r="AX16" s="231">
        <f t="shared" ref="AX16:AX81" si="7">IF(ISNUMBER(AS17),SUM(AU16:AV16),SUM(AU16:AW16))</f>
        <v>0</v>
      </c>
      <c r="AY16" s="278">
        <f t="shared" si="0"/>
        <v>0</v>
      </c>
      <c r="AZ16" s="231">
        <f t="shared" si="4"/>
        <v>0</v>
      </c>
      <c r="BA16" s="231"/>
    </row>
    <row r="17" spans="1:54" ht="31.7" customHeight="1" x14ac:dyDescent="0.25">
      <c r="A17" s="245"/>
      <c r="B17" s="931"/>
      <c r="C17" s="855"/>
      <c r="D17" s="857"/>
      <c r="E17" s="234"/>
      <c r="F17" s="837"/>
      <c r="G17" s="849"/>
      <c r="H17" s="237"/>
      <c r="I17" s="295" t="s">
        <v>7</v>
      </c>
      <c r="J17" s="382"/>
      <c r="K17" s="315"/>
      <c r="L17" s="932" t="s">
        <v>38</v>
      </c>
      <c r="M17" s="932"/>
      <c r="N17" s="243"/>
      <c r="O17" s="237"/>
      <c r="P17" s="245"/>
      <c r="Q17" s="419"/>
      <c r="R17" s="410" t="s">
        <v>415</v>
      </c>
      <c r="S17" s="453" t="e">
        <f>$T10/$T$9</f>
        <v>#DIV/0!</v>
      </c>
      <c r="T17" s="851" t="e">
        <f>$T10/$T$10</f>
        <v>#DIV/0!</v>
      </c>
      <c r="U17" s="852"/>
      <c r="V17" s="453" t="e">
        <f>$T10/$T$11</f>
        <v>#DIV/0!</v>
      </c>
      <c r="W17" s="454" t="e">
        <f>$T10/$V$14</f>
        <v>#DIV/0!</v>
      </c>
      <c r="X17" s="237"/>
      <c r="Y17" s="384"/>
      <c r="Z17" s="245"/>
      <c r="AA17" s="245"/>
      <c r="AB17" s="245"/>
      <c r="AC17" s="245"/>
      <c r="AD17" s="245"/>
      <c r="AE17" s="245"/>
      <c r="AF17" s="245"/>
      <c r="AG17" s="245"/>
      <c r="AH17" s="245"/>
      <c r="AI17" s="245"/>
      <c r="AJ17" s="245"/>
      <c r="AK17" s="245"/>
      <c r="AL17" s="245"/>
      <c r="AM17" s="245"/>
      <c r="AN17" s="245"/>
      <c r="AO17" s="245"/>
      <c r="AP17" s="245"/>
      <c r="AQ17" s="245"/>
      <c r="AS17" s="231" t="str">
        <f>IF(AS16&lt;$D$14,AS16+1,"")</f>
        <v/>
      </c>
      <c r="AT17" s="277">
        <f>IF(ISNUMBER(AS17),AW16,0)</f>
        <v>0</v>
      </c>
      <c r="AU17" s="277"/>
      <c r="AV17" s="277">
        <f t="shared" si="2"/>
        <v>0</v>
      </c>
      <c r="AW17" s="277">
        <f t="shared" si="6"/>
        <v>0</v>
      </c>
      <c r="AX17" s="231">
        <f>IF(ISNUMBER(AS18),SUM(AU17:AV17),SUM(AU17:AW17))</f>
        <v>0</v>
      </c>
      <c r="AY17" s="278">
        <f t="shared" si="0"/>
        <v>0</v>
      </c>
      <c r="AZ17" s="231">
        <f t="shared" si="4"/>
        <v>0</v>
      </c>
      <c r="BA17" s="231"/>
    </row>
    <row r="18" spans="1:54" ht="30.75" customHeight="1" x14ac:dyDescent="0.25">
      <c r="A18" s="245"/>
      <c r="B18" s="931"/>
      <c r="C18" s="237"/>
      <c r="D18" s="237"/>
      <c r="E18" s="234"/>
      <c r="F18" s="308" t="s">
        <v>199</v>
      </c>
      <c r="G18" s="306"/>
      <c r="H18" s="237"/>
      <c r="I18" s="305" t="s">
        <v>321</v>
      </c>
      <c r="J18" s="304"/>
      <c r="K18" s="314"/>
      <c r="L18" s="310" t="s">
        <v>433</v>
      </c>
      <c r="M18" s="137"/>
      <c r="N18" s="243"/>
      <c r="O18" s="237"/>
      <c r="P18" s="237"/>
      <c r="Q18" s="419"/>
      <c r="R18" s="410" t="s">
        <v>416</v>
      </c>
      <c r="S18" s="453" t="e">
        <f>$T11/$T$9</f>
        <v>#DIV/0!</v>
      </c>
      <c r="T18" s="851" t="e">
        <f>$T11/$T$10</f>
        <v>#DIV/0!</v>
      </c>
      <c r="U18" s="852"/>
      <c r="V18" s="453" t="e">
        <f>$T11/$T$11</f>
        <v>#DIV/0!</v>
      </c>
      <c r="W18" s="454" t="e">
        <f>$T11/$V$14</f>
        <v>#DIV/0!</v>
      </c>
      <c r="X18" s="237"/>
      <c r="Y18" s="245"/>
      <c r="Z18" s="245"/>
      <c r="AA18" s="245"/>
      <c r="AB18" s="245"/>
      <c r="AC18" s="245"/>
      <c r="AD18" s="245"/>
      <c r="AE18" s="245"/>
      <c r="AF18" s="245"/>
      <c r="AG18" s="245"/>
      <c r="AH18" s="245"/>
      <c r="AI18" s="245"/>
      <c r="AJ18" s="245"/>
      <c r="AK18" s="245"/>
      <c r="AL18" s="245"/>
      <c r="AM18" s="245"/>
      <c r="AN18" s="245"/>
      <c r="AO18" s="245"/>
      <c r="AP18" s="245"/>
      <c r="AQ18" s="245"/>
      <c r="AS18" s="231" t="str">
        <f>IF(AS17&lt;$D$14,AS17+1,"")</f>
        <v/>
      </c>
      <c r="AT18" s="277">
        <f>IF(ISNUMBER(AS18),AW17,0)</f>
        <v>0</v>
      </c>
      <c r="AU18" s="277"/>
      <c r="AV18" s="277">
        <f t="shared" si="2"/>
        <v>0</v>
      </c>
      <c r="AW18" s="277">
        <f t="shared" si="6"/>
        <v>0</v>
      </c>
      <c r="AX18" s="231">
        <f>IF(ISNUMBER(AS19),SUM(AU18:AV18),SUM(AU18:AW18))</f>
        <v>0</v>
      </c>
      <c r="AY18" s="278">
        <f t="shared" si="0"/>
        <v>0</v>
      </c>
      <c r="AZ18" s="231">
        <f t="shared" si="4"/>
        <v>0</v>
      </c>
      <c r="BA18" s="231"/>
    </row>
    <row r="19" spans="1:54" ht="21" customHeight="1" thickBot="1" x14ac:dyDescent="0.3">
      <c r="A19" s="245"/>
      <c r="B19" s="300"/>
      <c r="C19" s="238"/>
      <c r="D19" s="238"/>
      <c r="E19" s="238"/>
      <c r="F19" s="301"/>
      <c r="G19" s="302"/>
      <c r="H19" s="238"/>
      <c r="I19" s="238"/>
      <c r="J19" s="238"/>
      <c r="K19" s="238"/>
      <c r="L19" s="317"/>
      <c r="M19" s="238"/>
      <c r="N19" s="303"/>
      <c r="O19" s="237"/>
      <c r="P19" s="245"/>
      <c r="Q19" s="424"/>
      <c r="R19" s="411" t="s">
        <v>418</v>
      </c>
      <c r="S19" s="455" t="e">
        <f>$V14/$T$9</f>
        <v>#DIV/0!</v>
      </c>
      <c r="T19" s="862" t="e">
        <f>$V14/$T$10</f>
        <v>#DIV/0!</v>
      </c>
      <c r="U19" s="863"/>
      <c r="V19" s="455" t="e">
        <f>$V14/$T$11</f>
        <v>#DIV/0!</v>
      </c>
      <c r="W19" s="456" t="e">
        <f>$V14/$V$14</f>
        <v>#DIV/0!</v>
      </c>
      <c r="X19" s="237"/>
      <c r="Y19" s="245"/>
      <c r="Z19" s="245"/>
      <c r="AA19" s="245"/>
      <c r="AB19" s="245"/>
      <c r="AC19" s="245"/>
      <c r="AD19" s="245"/>
      <c r="AE19" s="245"/>
      <c r="AF19" s="245"/>
      <c r="AG19" s="245"/>
      <c r="AH19" s="245"/>
      <c r="AI19" s="245"/>
      <c r="AJ19" s="245"/>
      <c r="AK19" s="245"/>
      <c r="AL19" s="245"/>
      <c r="AM19" s="245"/>
      <c r="AN19" s="245"/>
      <c r="AO19" s="245"/>
      <c r="AP19" s="245"/>
      <c r="AQ19" s="245"/>
      <c r="AS19" s="231" t="str">
        <f>IF(AS18&lt;$D$14,AS18+1,"")</f>
        <v/>
      </c>
      <c r="AT19" s="277">
        <f>IF(ISNUMBER(AS19),AW18,0)</f>
        <v>0</v>
      </c>
      <c r="AU19" s="277"/>
      <c r="AV19" s="277">
        <f t="shared" si="2"/>
        <v>0</v>
      </c>
      <c r="AW19" s="277">
        <f t="shared" si="6"/>
        <v>0</v>
      </c>
      <c r="AX19" s="231">
        <f t="shared" si="7"/>
        <v>0</v>
      </c>
      <c r="AY19" s="278">
        <f t="shared" si="0"/>
        <v>0</v>
      </c>
      <c r="AZ19" s="231">
        <f t="shared" si="4"/>
        <v>0</v>
      </c>
      <c r="BA19" s="231"/>
    </row>
    <row r="20" spans="1:54" ht="9.75" customHeight="1" thickBot="1" x14ac:dyDescent="0.3">
      <c r="A20" s="245"/>
      <c r="B20" s="245"/>
      <c r="C20" s="245"/>
      <c r="D20" s="245"/>
      <c r="E20" s="245"/>
      <c r="F20" s="245"/>
      <c r="G20" s="245"/>
      <c r="H20" s="245"/>
      <c r="I20" s="245"/>
      <c r="J20" s="245"/>
      <c r="K20" s="245"/>
      <c r="L20" s="245"/>
      <c r="M20" s="245"/>
      <c r="N20" s="245"/>
      <c r="O20" s="245"/>
      <c r="P20" s="245"/>
      <c r="Q20" s="237"/>
      <c r="R20" s="237"/>
      <c r="S20" s="237"/>
      <c r="T20" s="237"/>
      <c r="U20" s="237"/>
      <c r="V20" s="237"/>
      <c r="W20" s="237"/>
      <c r="Y20" s="245"/>
      <c r="Z20" s="245"/>
      <c r="AA20" s="245"/>
      <c r="AB20" s="245"/>
      <c r="AC20" s="245"/>
      <c r="AD20" s="245"/>
      <c r="AE20" s="245"/>
      <c r="AF20" s="245"/>
      <c r="AG20" s="245"/>
      <c r="AH20" s="245"/>
      <c r="AI20" s="245"/>
      <c r="AJ20" s="245"/>
      <c r="AK20" s="245"/>
      <c r="AL20" s="245"/>
      <c r="AM20" s="245"/>
      <c r="AN20" s="245"/>
      <c r="AO20" s="245"/>
      <c r="AP20" s="245"/>
      <c r="AQ20" s="245"/>
      <c r="AS20" s="231" t="str">
        <f t="shared" si="1"/>
        <v/>
      </c>
      <c r="AT20" s="277">
        <f t="shared" si="5"/>
        <v>0</v>
      </c>
      <c r="AU20" s="277"/>
      <c r="AV20" s="277">
        <f t="shared" si="2"/>
        <v>0</v>
      </c>
      <c r="AW20" s="277">
        <f t="shared" si="6"/>
        <v>0</v>
      </c>
      <c r="AX20" s="231">
        <f>IF(ISNUMBER(AS21),SUM(AU20:AV20),SUM(AU20:AW20))</f>
        <v>0</v>
      </c>
      <c r="AY20" s="278">
        <f t="shared" si="0"/>
        <v>0</v>
      </c>
      <c r="AZ20" s="231">
        <f t="shared" si="4"/>
        <v>0</v>
      </c>
      <c r="BA20" s="231"/>
    </row>
    <row r="21" spans="1:54" ht="10.5" customHeight="1" x14ac:dyDescent="0.25">
      <c r="A21" s="245"/>
      <c r="B21" s="245"/>
      <c r="C21" s="245"/>
      <c r="D21" s="245"/>
      <c r="E21" s="237"/>
      <c r="F21" s="864" t="s">
        <v>34</v>
      </c>
      <c r="G21" s="256" t="s">
        <v>33</v>
      </c>
      <c r="H21" s="257"/>
      <c r="I21" s="450" t="e">
        <f>T9</f>
        <v>#DIV/0!</v>
      </c>
      <c r="J21" s="258"/>
      <c r="K21" s="259"/>
      <c r="L21" s="262"/>
      <c r="M21" s="262"/>
      <c r="N21" s="262"/>
      <c r="O21" s="262"/>
      <c r="P21" s="237"/>
      <c r="Q21" s="784" t="s">
        <v>286</v>
      </c>
      <c r="R21" s="868" t="s">
        <v>303</v>
      </c>
      <c r="S21" s="869"/>
      <c r="T21" s="352"/>
      <c r="U21" s="872" t="s">
        <v>282</v>
      </c>
      <c r="V21" s="872"/>
      <c r="W21" s="873"/>
      <c r="Y21" s="245"/>
      <c r="Z21" s="245"/>
      <c r="AA21" s="245"/>
      <c r="AB21" s="245"/>
      <c r="AC21" s="245"/>
      <c r="AD21" s="245"/>
      <c r="AE21" s="245"/>
      <c r="AF21" s="245"/>
      <c r="AG21" s="245"/>
      <c r="AH21" s="245"/>
      <c r="AI21" s="245"/>
      <c r="AJ21" s="245"/>
      <c r="AK21" s="245"/>
      <c r="AL21" s="245"/>
      <c r="AM21" s="245"/>
      <c r="AN21" s="245"/>
      <c r="AO21" s="245"/>
      <c r="AP21" s="245"/>
      <c r="AQ21" s="245"/>
      <c r="AS21" s="231" t="str">
        <f>IF(AS20&lt;$D$14,AS20+1,"")</f>
        <v/>
      </c>
      <c r="AT21" s="277">
        <f>IF(ISNUMBER(AS21),AW20,0)</f>
        <v>0</v>
      </c>
      <c r="AU21" s="277"/>
      <c r="AV21" s="277">
        <f t="shared" si="2"/>
        <v>0</v>
      </c>
      <c r="AW21" s="277">
        <f t="shared" si="6"/>
        <v>0</v>
      </c>
      <c r="AX21" s="231">
        <f t="shared" si="7"/>
        <v>0</v>
      </c>
      <c r="AY21" s="278">
        <f t="shared" si="0"/>
        <v>0</v>
      </c>
      <c r="AZ21" s="231">
        <f t="shared" si="4"/>
        <v>0</v>
      </c>
      <c r="BA21" s="231"/>
    </row>
    <row r="22" spans="1:54" ht="12" customHeight="1" thickBot="1" x14ac:dyDescent="0.3">
      <c r="A22" s="245"/>
      <c r="B22" s="245"/>
      <c r="C22" s="245"/>
      <c r="D22" s="245"/>
      <c r="E22" s="237"/>
      <c r="F22" s="865"/>
      <c r="G22" s="260" t="s">
        <v>32</v>
      </c>
      <c r="H22" s="261"/>
      <c r="I22" s="451" t="e">
        <f>T10</f>
        <v>#DIV/0!</v>
      </c>
      <c r="J22" s="262"/>
      <c r="K22" s="263"/>
      <c r="L22" s="262"/>
      <c r="M22" s="262"/>
      <c r="N22" s="262"/>
      <c r="O22" s="262"/>
      <c r="P22" s="237"/>
      <c r="Q22" s="866"/>
      <c r="R22" s="870"/>
      <c r="S22" s="871"/>
      <c r="T22" s="353"/>
      <c r="U22" s="874"/>
      <c r="V22" s="874"/>
      <c r="W22" s="875"/>
      <c r="Y22" s="245"/>
      <c r="Z22" s="245"/>
      <c r="AA22" s="245"/>
      <c r="AB22" s="245"/>
      <c r="AC22" s="245"/>
      <c r="AD22" s="245"/>
      <c r="AE22" s="245"/>
      <c r="AF22" s="245"/>
      <c r="AG22" s="245"/>
      <c r="AH22" s="245"/>
      <c r="AI22" s="245"/>
      <c r="AJ22" s="245"/>
      <c r="AK22" s="245"/>
      <c r="AL22" s="245"/>
      <c r="AM22" s="245"/>
      <c r="AN22" s="245"/>
      <c r="AO22" s="245"/>
      <c r="AP22" s="245"/>
      <c r="AQ22" s="245"/>
      <c r="AS22" s="231" t="str">
        <f t="shared" si="1"/>
        <v/>
      </c>
      <c r="AT22" s="277">
        <f t="shared" si="5"/>
        <v>0</v>
      </c>
      <c r="AU22" s="277"/>
      <c r="AV22" s="277">
        <f t="shared" si="2"/>
        <v>0</v>
      </c>
      <c r="AW22" s="277">
        <f t="shared" si="6"/>
        <v>0</v>
      </c>
      <c r="AX22" s="231">
        <f t="shared" si="7"/>
        <v>0</v>
      </c>
      <c r="AY22" s="278">
        <f t="shared" si="0"/>
        <v>0</v>
      </c>
      <c r="AZ22" s="231">
        <f t="shared" si="4"/>
        <v>0</v>
      </c>
      <c r="BA22" s="231"/>
    </row>
    <row r="23" spans="1:54" ht="10.7" customHeight="1" x14ac:dyDescent="0.25">
      <c r="A23" s="245"/>
      <c r="B23" s="792" t="s">
        <v>188</v>
      </c>
      <c r="C23" s="878"/>
      <c r="D23" s="878"/>
      <c r="E23" s="878"/>
      <c r="F23" s="865"/>
      <c r="G23" s="260" t="s">
        <v>168</v>
      </c>
      <c r="H23" s="261"/>
      <c r="I23" s="451" t="e">
        <f>T12</f>
        <v>#DIV/0!</v>
      </c>
      <c r="J23" s="262"/>
      <c r="K23" s="263"/>
      <c r="L23" s="262"/>
      <c r="M23" s="262"/>
      <c r="N23" s="262"/>
      <c r="O23" s="262"/>
      <c r="P23" s="237"/>
      <c r="Q23" s="866"/>
      <c r="R23" s="344" t="s">
        <v>38</v>
      </c>
      <c r="S23" s="457" t="e">
        <f>(R37/S37)*T5</f>
        <v>#DIV/0!</v>
      </c>
      <c r="T23" s="458"/>
      <c r="U23" s="459"/>
      <c r="V23" s="459"/>
      <c r="W23" s="460"/>
      <c r="Y23" s="245"/>
      <c r="Z23" s="245"/>
      <c r="AA23" s="245"/>
      <c r="AB23" s="245"/>
      <c r="AC23" s="245"/>
      <c r="AD23" s="245"/>
      <c r="AE23" s="245"/>
      <c r="AF23" s="245"/>
      <c r="AG23" s="245"/>
      <c r="AH23" s="245"/>
      <c r="AI23" s="245"/>
      <c r="AJ23" s="245"/>
      <c r="AK23" s="245"/>
      <c r="AL23" s="245"/>
      <c r="AM23" s="245"/>
      <c r="AN23" s="245"/>
      <c r="AO23" s="245"/>
      <c r="AP23" s="245"/>
      <c r="AQ23" s="245"/>
      <c r="AS23" s="231" t="str">
        <f t="shared" si="1"/>
        <v/>
      </c>
      <c r="AT23" s="277">
        <f t="shared" si="5"/>
        <v>0</v>
      </c>
      <c r="AU23" s="277"/>
      <c r="AV23" s="277">
        <f t="shared" si="2"/>
        <v>0</v>
      </c>
      <c r="AW23" s="277">
        <f t="shared" si="6"/>
        <v>0</v>
      </c>
      <c r="AX23" s="231">
        <f t="shared" si="7"/>
        <v>0</v>
      </c>
      <c r="AY23" s="278">
        <f t="shared" si="0"/>
        <v>0</v>
      </c>
      <c r="AZ23" s="231">
        <f t="shared" si="4"/>
        <v>0</v>
      </c>
      <c r="BA23" s="231"/>
    </row>
    <row r="24" spans="1:54" ht="12.75" customHeight="1" x14ac:dyDescent="0.25">
      <c r="A24" s="245"/>
      <c r="B24" s="879"/>
      <c r="C24" s="880"/>
      <c r="D24" s="880"/>
      <c r="E24" s="880"/>
      <c r="F24" s="865"/>
      <c r="G24" s="260" t="s">
        <v>14</v>
      </c>
      <c r="H24" s="261"/>
      <c r="I24" s="451" t="e">
        <f>V14</f>
        <v>#DIV/0!</v>
      </c>
      <c r="J24" s="262"/>
      <c r="K24" s="263"/>
      <c r="L24" s="262"/>
      <c r="M24" s="262"/>
      <c r="N24" s="262"/>
      <c r="O24" s="262"/>
      <c r="P24" s="237"/>
      <c r="Q24" s="866"/>
      <c r="R24" s="344" t="s">
        <v>42</v>
      </c>
      <c r="S24" s="457" t="e">
        <f>T9*$R$37</f>
        <v>#DIV/0!</v>
      </c>
      <c r="T24" s="458"/>
      <c r="U24" s="459" t="s">
        <v>42</v>
      </c>
      <c r="V24" s="459"/>
      <c r="W24" s="460" t="e">
        <f>S24/S$23</f>
        <v>#DIV/0!</v>
      </c>
      <c r="Y24" s="245"/>
      <c r="Z24" s="245"/>
      <c r="AA24" s="245"/>
      <c r="AB24" s="245"/>
      <c r="AC24" s="245"/>
      <c r="AD24" s="245"/>
      <c r="AE24" s="245"/>
      <c r="AF24" s="245"/>
      <c r="AG24" s="245"/>
      <c r="AH24" s="245"/>
      <c r="AI24" s="245"/>
      <c r="AJ24" s="245"/>
      <c r="AK24" s="245"/>
      <c r="AL24" s="245"/>
      <c r="AM24" s="245"/>
      <c r="AN24" s="245"/>
      <c r="AO24" s="245"/>
      <c r="AP24" s="245"/>
      <c r="AQ24" s="245"/>
      <c r="AS24" s="231" t="str">
        <f t="shared" si="1"/>
        <v/>
      </c>
      <c r="AT24" s="277">
        <f t="shared" si="5"/>
        <v>0</v>
      </c>
      <c r="AU24" s="277"/>
      <c r="AV24" s="277">
        <f t="shared" si="2"/>
        <v>0</v>
      </c>
      <c r="AW24" s="277">
        <f t="shared" si="6"/>
        <v>0</v>
      </c>
      <c r="AX24" s="231">
        <f>IF(ISNUMBER(AS25),SUM(AU24:AV24),SUM(AU24:AW24))</f>
        <v>0</v>
      </c>
      <c r="AY24" s="278">
        <f t="shared" si="0"/>
        <v>0</v>
      </c>
      <c r="AZ24" s="231">
        <f t="shared" si="4"/>
        <v>0</v>
      </c>
      <c r="BA24" s="231"/>
    </row>
    <row r="25" spans="1:54" ht="14.45" customHeight="1" thickBot="1" x14ac:dyDescent="0.3">
      <c r="A25" s="245"/>
      <c r="B25" s="879"/>
      <c r="C25" s="880"/>
      <c r="D25" s="880"/>
      <c r="E25" s="880"/>
      <c r="F25" s="264" t="s">
        <v>46</v>
      </c>
      <c r="G25" s="265"/>
      <c r="H25" s="265"/>
      <c r="I25" s="266" t="e">
        <f>V14*J37</f>
        <v>#DIV/0!</v>
      </c>
      <c r="J25" s="262"/>
      <c r="K25" s="263"/>
      <c r="L25" s="262"/>
      <c r="M25" s="262"/>
      <c r="N25" s="262"/>
      <c r="O25" s="262"/>
      <c r="P25" s="237"/>
      <c r="Q25" s="867"/>
      <c r="R25" s="344" t="s">
        <v>32</v>
      </c>
      <c r="S25" s="457" t="e">
        <f>T10*$R$37</f>
        <v>#DIV/0!</v>
      </c>
      <c r="T25" s="458"/>
      <c r="U25" s="459" t="s">
        <v>32</v>
      </c>
      <c r="V25" s="459"/>
      <c r="W25" s="460" t="e">
        <f>S25/S$23</f>
        <v>#DIV/0!</v>
      </c>
      <c r="Y25" s="245"/>
      <c r="Z25" s="245"/>
      <c r="AA25" s="245"/>
      <c r="AB25" s="245"/>
      <c r="AC25" s="245"/>
      <c r="AD25" s="245"/>
      <c r="AE25" s="245"/>
      <c r="AF25" s="245"/>
      <c r="AG25" s="245"/>
      <c r="AH25" s="245"/>
      <c r="AI25" s="245"/>
      <c r="AJ25" s="245"/>
      <c r="AK25" s="245"/>
      <c r="AL25" s="245"/>
      <c r="AM25" s="245"/>
      <c r="AN25" s="245"/>
      <c r="AO25" s="245"/>
      <c r="AP25" s="245"/>
      <c r="AQ25" s="245"/>
      <c r="AS25" s="231" t="str">
        <f>IF(AS24&lt;$D$14,AS24+1,"")</f>
        <v/>
      </c>
      <c r="AT25" s="277">
        <f>IF(ISNUMBER(AS25),AW24,0)</f>
        <v>0</v>
      </c>
      <c r="AU25" s="277"/>
      <c r="AV25" s="277">
        <f t="shared" si="2"/>
        <v>0</v>
      </c>
      <c r="AW25" s="277">
        <f t="shared" si="6"/>
        <v>0</v>
      </c>
      <c r="AX25" s="231">
        <f t="shared" si="7"/>
        <v>0</v>
      </c>
      <c r="AY25" s="278">
        <f t="shared" si="0"/>
        <v>0</v>
      </c>
      <c r="AZ25" s="231">
        <f t="shared" si="4"/>
        <v>0</v>
      </c>
      <c r="BA25" s="231"/>
    </row>
    <row r="26" spans="1:54" ht="12" customHeight="1" thickBot="1" x14ac:dyDescent="0.3">
      <c r="A26" s="245"/>
      <c r="B26" s="794"/>
      <c r="C26" s="881"/>
      <c r="D26" s="881"/>
      <c r="E26" s="881"/>
      <c r="F26" s="246"/>
      <c r="G26" s="237"/>
      <c r="H26" s="237"/>
      <c r="I26" s="237"/>
      <c r="J26" s="237"/>
      <c r="K26" s="243"/>
      <c r="L26" s="237"/>
      <c r="M26" s="237"/>
      <c r="N26" s="237"/>
      <c r="O26" s="262"/>
      <c r="P26" s="237"/>
      <c r="Q26" s="237"/>
      <c r="R26" s="344" t="s">
        <v>168</v>
      </c>
      <c r="S26" s="457" t="e">
        <f>T12*$R$37</f>
        <v>#DIV/0!</v>
      </c>
      <c r="T26" s="458"/>
      <c r="U26" s="459" t="s">
        <v>168</v>
      </c>
      <c r="V26" s="459"/>
      <c r="W26" s="460" t="e">
        <f>S26/S$23</f>
        <v>#DIV/0!</v>
      </c>
      <c r="Y26" s="245"/>
      <c r="Z26" s="245"/>
      <c r="AA26" s="245"/>
      <c r="AB26" s="245"/>
      <c r="AC26" s="245"/>
      <c r="AD26" s="245"/>
      <c r="AE26" s="245"/>
      <c r="AF26" s="245"/>
      <c r="AG26" s="245"/>
      <c r="AH26" s="245"/>
      <c r="AI26" s="245"/>
      <c r="AJ26" s="245"/>
      <c r="AK26" s="245"/>
      <c r="AL26" s="245"/>
      <c r="AM26" s="245"/>
      <c r="AN26" s="245"/>
      <c r="AO26" s="245"/>
      <c r="AP26" s="245"/>
      <c r="AQ26" s="245"/>
      <c r="AS26" s="231" t="str">
        <f t="shared" si="1"/>
        <v/>
      </c>
      <c r="AT26" s="277">
        <f t="shared" si="5"/>
        <v>0</v>
      </c>
      <c r="AU26" s="277"/>
      <c r="AV26" s="277">
        <f t="shared" si="2"/>
        <v>0</v>
      </c>
      <c r="AW26" s="277">
        <f t="shared" si="6"/>
        <v>0</v>
      </c>
      <c r="AX26" s="231">
        <f t="shared" si="7"/>
        <v>0</v>
      </c>
      <c r="AY26" s="278">
        <f t="shared" si="0"/>
        <v>0</v>
      </c>
      <c r="AZ26" s="231">
        <f t="shared" si="4"/>
        <v>0</v>
      </c>
      <c r="BA26" s="231"/>
    </row>
    <row r="27" spans="1:54" ht="12.75" customHeight="1" x14ac:dyDescent="0.25">
      <c r="A27" s="245"/>
      <c r="B27" s="245"/>
      <c r="C27" s="245"/>
      <c r="D27" s="245"/>
      <c r="E27" s="237"/>
      <c r="F27" s="267" t="s">
        <v>283</v>
      </c>
      <c r="G27" s="452" t="e">
        <f>I21/I$24</f>
        <v>#DIV/0!</v>
      </c>
      <c r="H27" s="268" t="s">
        <v>40</v>
      </c>
      <c r="I27" s="265"/>
      <c r="J27" s="265"/>
      <c r="K27" s="269"/>
      <c r="L27" s="237"/>
      <c r="M27" s="237"/>
      <c r="N27" s="237"/>
      <c r="O27" s="262"/>
      <c r="P27" s="237"/>
      <c r="R27" s="344" t="s">
        <v>14</v>
      </c>
      <c r="S27" s="457" t="e">
        <f>V14*$R$37</f>
        <v>#DIV/0!</v>
      </c>
      <c r="T27" s="458"/>
      <c r="U27" s="459" t="s">
        <v>14</v>
      </c>
      <c r="V27" s="459"/>
      <c r="W27" s="460" t="e">
        <f>S27/S$23</f>
        <v>#DIV/0!</v>
      </c>
      <c r="Y27" s="245"/>
      <c r="Z27" s="245"/>
      <c r="AA27" s="245"/>
      <c r="AB27" s="245"/>
      <c r="AC27" s="245"/>
      <c r="AD27" s="245"/>
      <c r="AE27" s="245"/>
      <c r="AF27" s="245"/>
      <c r="AG27" s="245"/>
      <c r="AH27" s="245"/>
      <c r="AI27" s="245"/>
      <c r="AJ27" s="245"/>
      <c r="AK27" s="245"/>
      <c r="AL27" s="245"/>
      <c r="AM27" s="245"/>
      <c r="AN27" s="245"/>
      <c r="AO27" s="245"/>
      <c r="AP27" s="245"/>
      <c r="AQ27" s="245"/>
      <c r="AS27" s="231" t="str">
        <f t="shared" si="1"/>
        <v/>
      </c>
      <c r="AT27" s="277">
        <f t="shared" si="5"/>
        <v>0</v>
      </c>
      <c r="AU27" s="277"/>
      <c r="AV27" s="277">
        <f t="shared" si="2"/>
        <v>0</v>
      </c>
      <c r="AW27" s="277">
        <f t="shared" si="6"/>
        <v>0</v>
      </c>
      <c r="AX27" s="231">
        <f t="shared" si="7"/>
        <v>0</v>
      </c>
      <c r="AY27" s="278">
        <f t="shared" si="0"/>
        <v>0</v>
      </c>
      <c r="AZ27" s="231">
        <f t="shared" si="4"/>
        <v>0</v>
      </c>
      <c r="BA27" s="287"/>
      <c r="BB27" s="245"/>
    </row>
    <row r="28" spans="1:54" s="245" customFormat="1" ht="14.45" customHeight="1" x14ac:dyDescent="0.25">
      <c r="E28" s="237"/>
      <c r="F28" s="267" t="s">
        <v>41</v>
      </c>
      <c r="G28" s="452" t="e">
        <f t="shared" ref="G28:G29" si="8">I22/I$24</f>
        <v>#DIV/0!</v>
      </c>
      <c r="H28" s="268" t="s">
        <v>40</v>
      </c>
      <c r="I28" s="265"/>
      <c r="J28" s="265"/>
      <c r="K28" s="269"/>
      <c r="L28" s="237"/>
      <c r="M28" s="237"/>
      <c r="N28" s="237"/>
      <c r="O28" s="262"/>
      <c r="P28" s="237"/>
      <c r="R28" s="342" t="s">
        <v>307</v>
      </c>
      <c r="S28" s="461"/>
      <c r="T28" s="458"/>
      <c r="U28" s="458"/>
      <c r="V28" s="458"/>
      <c r="W28" s="462" t="s">
        <v>281</v>
      </c>
      <c r="AS28" s="231" t="str">
        <f t="shared" si="1"/>
        <v/>
      </c>
      <c r="AT28" s="277">
        <f t="shared" si="5"/>
        <v>0</v>
      </c>
      <c r="AU28" s="277"/>
      <c r="AV28" s="277">
        <f t="shared" si="2"/>
        <v>0</v>
      </c>
      <c r="AW28" s="277">
        <f t="shared" si="6"/>
        <v>0</v>
      </c>
      <c r="AX28" s="231">
        <f>IF(ISNUMBER(AS29),SUM(AU28:AV28),SUM(AU28:AW28))</f>
        <v>0</v>
      </c>
      <c r="AY28" s="278">
        <f t="shared" si="0"/>
        <v>0</v>
      </c>
      <c r="AZ28" s="231">
        <f t="shared" si="4"/>
        <v>0</v>
      </c>
      <c r="BA28" s="231"/>
      <c r="BB28" s="232"/>
    </row>
    <row r="29" spans="1:54" ht="13.7" customHeight="1" x14ac:dyDescent="0.25">
      <c r="A29" s="245"/>
      <c r="B29" s="245"/>
      <c r="C29" s="245"/>
      <c r="D29" s="245"/>
      <c r="E29" s="237"/>
      <c r="F29" s="267" t="s">
        <v>185</v>
      </c>
      <c r="G29" s="452" t="e">
        <f t="shared" si="8"/>
        <v>#DIV/0!</v>
      </c>
      <c r="H29" s="268" t="s">
        <v>40</v>
      </c>
      <c r="I29" s="265"/>
      <c r="J29" s="265"/>
      <c r="K29" s="269"/>
      <c r="L29" s="237"/>
      <c r="M29" s="237"/>
      <c r="N29" s="237"/>
      <c r="O29" s="262"/>
      <c r="P29" s="237"/>
      <c r="Q29" s="341"/>
      <c r="R29" s="343" t="s">
        <v>42</v>
      </c>
      <c r="S29" s="457" t="str">
        <f>IFERROR(IF(S24-S$23&gt;0,S24-S$23,"N/A"),"N/A")</f>
        <v>N/A</v>
      </c>
      <c r="T29" s="463"/>
      <c r="U29" s="459"/>
      <c r="V29" s="459"/>
      <c r="W29" s="464" t="str">
        <f>IF(AND(S29&lt;&gt;"N/A",S29&gt;=$W$33),R29,"Bednets")</f>
        <v>Bednets</v>
      </c>
      <c r="Y29" s="245"/>
      <c r="Z29" s="245"/>
      <c r="AA29" s="245"/>
      <c r="AB29" s="245"/>
      <c r="AC29" s="245"/>
      <c r="AD29" s="245"/>
      <c r="AE29" s="245"/>
      <c r="AF29" s="245"/>
      <c r="AG29" s="245"/>
      <c r="AH29" s="245"/>
      <c r="AI29" s="245"/>
      <c r="AJ29" s="245"/>
      <c r="AK29" s="245"/>
      <c r="AL29" s="245"/>
      <c r="AM29" s="245"/>
      <c r="AN29" s="245"/>
      <c r="AO29" s="245"/>
      <c r="AP29" s="245"/>
      <c r="AQ29" s="245"/>
      <c r="AS29" s="231" t="str">
        <f>IF(AS28&lt;$D$14,AS28+1,"")</f>
        <v/>
      </c>
      <c r="AT29" s="277">
        <f>IF(ISNUMBER(AS29),AW28,0)</f>
        <v>0</v>
      </c>
      <c r="AU29" s="277"/>
      <c r="AV29" s="277">
        <f t="shared" si="2"/>
        <v>0</v>
      </c>
      <c r="AW29" s="277">
        <f t="shared" si="6"/>
        <v>0</v>
      </c>
      <c r="AX29" s="231">
        <f t="shared" si="7"/>
        <v>0</v>
      </c>
      <c r="AY29" s="278">
        <f t="shared" si="0"/>
        <v>0</v>
      </c>
      <c r="AZ29" s="231">
        <f t="shared" si="4"/>
        <v>0</v>
      </c>
      <c r="BA29" s="231"/>
    </row>
    <row r="30" spans="1:54" ht="13.5" customHeight="1" x14ac:dyDescent="0.25">
      <c r="A30" s="245"/>
      <c r="B30" s="245"/>
      <c r="C30" s="245"/>
      <c r="D30" s="245"/>
      <c r="E30" s="237"/>
      <c r="F30" s="246"/>
      <c r="G30" s="237"/>
      <c r="H30" s="237"/>
      <c r="I30" s="237"/>
      <c r="J30" s="262"/>
      <c r="K30" s="263"/>
      <c r="L30" s="237"/>
      <c r="M30" s="237"/>
      <c r="N30" s="237"/>
      <c r="O30" s="262"/>
      <c r="P30" s="237"/>
      <c r="Q30" s="341"/>
      <c r="R30" s="343" t="s">
        <v>32</v>
      </c>
      <c r="S30" s="457" t="str">
        <f>IFERROR(IF(S25-S$23&gt;0,S25-S$23,"N/A"),"N/A")</f>
        <v>N/A</v>
      </c>
      <c r="T30" s="463"/>
      <c r="U30" s="459"/>
      <c r="V30" s="459"/>
      <c r="W30" s="464" t="str">
        <f>IF(AND(S30&lt;&gt;"N/A",S30&gt;=$W$33),R30,"Bednets")</f>
        <v>Bednets</v>
      </c>
      <c r="Y30" s="245"/>
      <c r="Z30" s="245"/>
      <c r="AA30" s="245"/>
      <c r="AB30" s="245"/>
      <c r="AC30" s="245"/>
      <c r="AD30" s="245"/>
      <c r="AE30" s="245"/>
      <c r="AF30" s="245"/>
      <c r="AG30" s="245"/>
      <c r="AH30" s="245"/>
      <c r="AI30" s="245"/>
      <c r="AJ30" s="245"/>
      <c r="AK30" s="245"/>
      <c r="AL30" s="245"/>
      <c r="AM30" s="245"/>
      <c r="AN30" s="245"/>
      <c r="AO30" s="245"/>
      <c r="AP30" s="245"/>
      <c r="AQ30" s="245"/>
      <c r="AS30" s="231" t="str">
        <f t="shared" si="1"/>
        <v/>
      </c>
      <c r="AT30" s="277">
        <f t="shared" si="5"/>
        <v>0</v>
      </c>
      <c r="AU30" s="277"/>
      <c r="AV30" s="277">
        <f t="shared" si="2"/>
        <v>0</v>
      </c>
      <c r="AW30" s="277">
        <f t="shared" si="6"/>
        <v>0</v>
      </c>
      <c r="AX30" s="231">
        <f>IF(ISNUMBER(AS33),SUM(AU30:AV30),SUM(AU30:AW30))</f>
        <v>0</v>
      </c>
      <c r="AY30" s="278">
        <f t="shared" si="0"/>
        <v>0</v>
      </c>
      <c r="AZ30" s="231">
        <f t="shared" si="4"/>
        <v>0</v>
      </c>
      <c r="BA30" s="231"/>
    </row>
    <row r="31" spans="1:54" ht="13.5" customHeight="1" x14ac:dyDescent="0.25">
      <c r="A31" s="245"/>
      <c r="B31" s="245"/>
      <c r="C31" s="245"/>
      <c r="D31" s="245"/>
      <c r="E31" s="237"/>
      <c r="F31" s="865" t="s">
        <v>152</v>
      </c>
      <c r="G31" s="260" t="s">
        <v>42</v>
      </c>
      <c r="H31" s="261"/>
      <c r="I31" s="428" t="e">
        <f>V9</f>
        <v>#DIV/0!</v>
      </c>
      <c r="J31" s="262"/>
      <c r="K31" s="263"/>
      <c r="L31" s="237"/>
      <c r="M31" s="237"/>
      <c r="N31" s="237"/>
      <c r="O31" s="262"/>
      <c r="P31" s="237"/>
      <c r="Q31" s="285"/>
      <c r="R31" s="343" t="s">
        <v>168</v>
      </c>
      <c r="S31" s="457" t="str">
        <f>IFERROR(IF(S26-S$23&gt;0,S26-S$23,"N/A"),"N/A")</f>
        <v>N/A</v>
      </c>
      <c r="T31" s="463"/>
      <c r="U31" s="459"/>
      <c r="V31" s="459"/>
      <c r="W31" s="464" t="str">
        <f>IF(AND(S31&lt;&gt;"N/A",S31&gt;=$W$33),R31,"Bednets")</f>
        <v>Bednets</v>
      </c>
      <c r="Y31" s="245"/>
      <c r="Z31" s="245"/>
      <c r="AA31" s="245"/>
      <c r="AB31" s="245"/>
      <c r="AC31" s="245"/>
      <c r="AD31" s="245"/>
      <c r="AE31" s="245"/>
      <c r="AF31" s="245"/>
      <c r="AG31" s="245"/>
      <c r="AH31" s="245"/>
      <c r="AI31" s="245"/>
      <c r="AJ31" s="245"/>
      <c r="AK31" s="245"/>
      <c r="AL31" s="245"/>
      <c r="AM31" s="245"/>
      <c r="AN31" s="245"/>
      <c r="AO31" s="245"/>
      <c r="AP31" s="245"/>
      <c r="AQ31" s="245"/>
      <c r="AS31" s="231"/>
      <c r="AT31" s="277"/>
      <c r="AU31" s="277"/>
      <c r="AV31" s="277"/>
      <c r="AW31" s="277"/>
      <c r="AX31" s="231"/>
      <c r="AY31" s="278"/>
      <c r="AZ31" s="231"/>
      <c r="BA31" s="231"/>
    </row>
    <row r="32" spans="1:54" ht="13.5" customHeight="1" x14ac:dyDescent="0.25">
      <c r="A32" s="245"/>
      <c r="B32" s="245"/>
      <c r="C32" s="245"/>
      <c r="D32" s="245"/>
      <c r="E32" s="237"/>
      <c r="F32" s="865"/>
      <c r="G32" s="260" t="s">
        <v>32</v>
      </c>
      <c r="H32" s="261"/>
      <c r="I32" s="428" t="e">
        <f>V10</f>
        <v>#DIV/0!</v>
      </c>
      <c r="J32" s="262"/>
      <c r="K32" s="263"/>
      <c r="L32" s="262"/>
      <c r="M32" s="262"/>
      <c r="N32" s="262"/>
      <c r="O32" s="262"/>
      <c r="P32" s="237"/>
      <c r="Q32" s="285"/>
      <c r="R32" s="349"/>
      <c r="S32" s="350"/>
      <c r="T32" s="350"/>
      <c r="U32" s="350"/>
      <c r="V32" s="350"/>
      <c r="W32" s="351"/>
      <c r="Y32" s="245"/>
      <c r="Z32" s="245"/>
      <c r="AA32" s="245"/>
      <c r="AB32" s="245"/>
      <c r="AC32" s="245"/>
      <c r="AD32" s="245"/>
      <c r="AE32" s="245"/>
      <c r="AF32" s="245"/>
      <c r="AG32" s="245"/>
      <c r="AH32" s="245"/>
      <c r="AI32" s="245"/>
      <c r="AJ32" s="245"/>
      <c r="AK32" s="245"/>
      <c r="AL32" s="245"/>
      <c r="AM32" s="245"/>
      <c r="AN32" s="245"/>
      <c r="AO32" s="245"/>
      <c r="AP32" s="245"/>
      <c r="AQ32" s="245"/>
      <c r="AS32" s="231"/>
      <c r="AT32" s="277"/>
      <c r="AU32" s="277"/>
      <c r="AV32" s="277"/>
      <c r="AW32" s="277"/>
      <c r="AX32" s="231"/>
      <c r="AY32" s="278"/>
      <c r="AZ32" s="231"/>
      <c r="BA32" s="231"/>
    </row>
    <row r="33" spans="1:53" ht="13.7" customHeight="1" thickBot="1" x14ac:dyDescent="0.3">
      <c r="A33" s="245"/>
      <c r="B33" s="245"/>
      <c r="C33" s="245"/>
      <c r="D33" s="245"/>
      <c r="E33" s="245"/>
      <c r="F33" s="865"/>
      <c r="G33" s="260" t="s">
        <v>38</v>
      </c>
      <c r="H33" s="261"/>
      <c r="I33" s="428" t="e">
        <f t="shared" ref="I33:I34" si="9">V11</f>
        <v>#DIV/0!</v>
      </c>
      <c r="J33" s="237"/>
      <c r="K33" s="243"/>
      <c r="L33" s="237"/>
      <c r="M33" s="237"/>
      <c r="N33" s="237"/>
      <c r="O33" s="237"/>
      <c r="P33" s="245"/>
      <c r="Q33" s="285"/>
      <c r="R33" s="898" t="s">
        <v>308</v>
      </c>
      <c r="S33" s="899"/>
      <c r="T33" s="899"/>
      <c r="U33" s="899"/>
      <c r="V33" s="899"/>
      <c r="W33" s="465">
        <f>$G$10*U37</f>
        <v>0</v>
      </c>
      <c r="X33" s="285"/>
      <c r="Y33" s="285"/>
      <c r="Z33" s="245"/>
      <c r="AA33" s="245"/>
      <c r="AB33" s="245"/>
      <c r="AC33" s="245"/>
      <c r="AD33" s="245"/>
      <c r="AE33" s="245"/>
      <c r="AF33" s="245"/>
      <c r="AG33" s="245"/>
      <c r="AH33" s="245"/>
      <c r="AI33" s="245"/>
      <c r="AJ33" s="245"/>
      <c r="AK33" s="245"/>
      <c r="AL33" s="245"/>
      <c r="AM33" s="245"/>
      <c r="AN33" s="245"/>
      <c r="AO33" s="245"/>
      <c r="AP33" s="245"/>
      <c r="AQ33" s="245"/>
      <c r="AS33" s="231" t="str">
        <f>IF(AS30&lt;$D$14,AS30+1,"")</f>
        <v/>
      </c>
      <c r="AT33" s="277">
        <f>IF(ISNUMBER(AS33),AW30,0)</f>
        <v>0</v>
      </c>
      <c r="AU33" s="277"/>
      <c r="AV33" s="277">
        <f t="shared" si="2"/>
        <v>0</v>
      </c>
      <c r="AW33" s="277">
        <f t="shared" si="6"/>
        <v>0</v>
      </c>
      <c r="AX33" s="231">
        <f>IF(ISNUMBER(AS35),SUM(AU33:AV33),SUM(AU33:AW33))</f>
        <v>0</v>
      </c>
      <c r="AY33" s="278">
        <f>LN(AX33+$J$37)-LN($J$37)</f>
        <v>0</v>
      </c>
      <c r="AZ33" s="231">
        <f t="shared" si="4"/>
        <v>0</v>
      </c>
    </row>
    <row r="34" spans="1:53" ht="13.7" customHeight="1" thickBot="1" x14ac:dyDescent="0.3">
      <c r="A34" s="245"/>
      <c r="B34" s="245"/>
      <c r="C34" s="245"/>
      <c r="D34" s="245"/>
      <c r="E34" s="245"/>
      <c r="F34" s="897"/>
      <c r="G34" s="288" t="s">
        <v>168</v>
      </c>
      <c r="H34" s="289"/>
      <c r="I34" s="429" t="str">
        <f t="shared" si="9"/>
        <v>-</v>
      </c>
      <c r="J34" s="238"/>
      <c r="K34" s="323"/>
      <c r="L34" s="237"/>
      <c r="M34" s="237"/>
      <c r="N34" s="237"/>
      <c r="O34" s="237"/>
      <c r="P34" s="245"/>
      <c r="Q34" s="285"/>
      <c r="R34" s="375"/>
      <c r="S34" s="375"/>
      <c r="T34" s="375"/>
      <c r="U34" s="375"/>
      <c r="V34" s="375"/>
      <c r="W34" s="286"/>
      <c r="X34" s="286"/>
      <c r="Y34" s="285"/>
      <c r="Z34" s="245"/>
      <c r="AA34" s="245"/>
      <c r="AB34" s="245"/>
      <c r="AC34" s="245"/>
      <c r="AD34" s="245"/>
      <c r="AE34" s="245"/>
      <c r="AF34" s="245"/>
      <c r="AG34" s="245"/>
      <c r="AH34" s="245"/>
      <c r="AI34" s="245"/>
      <c r="AJ34" s="245"/>
      <c r="AK34" s="245"/>
      <c r="AL34" s="245"/>
      <c r="AM34" s="245"/>
      <c r="AN34" s="245"/>
      <c r="AO34" s="245"/>
      <c r="AP34" s="245"/>
      <c r="AQ34" s="245"/>
      <c r="AS34" s="231"/>
      <c r="AT34" s="277"/>
      <c r="AU34" s="277"/>
      <c r="AV34" s="277"/>
      <c r="AW34" s="277"/>
      <c r="AX34" s="231"/>
      <c r="AY34" s="278"/>
      <c r="AZ34" s="231"/>
    </row>
    <row r="35" spans="1:53" ht="51" customHeight="1" thickBot="1" x14ac:dyDescent="0.3">
      <c r="B35" s="245"/>
      <c r="C35" s="245"/>
      <c r="D35" s="245"/>
      <c r="E35" s="245"/>
      <c r="F35" s="245"/>
      <c r="G35" s="245"/>
      <c r="H35" s="245"/>
      <c r="I35" s="307"/>
      <c r="J35" s="307"/>
      <c r="K35" s="245"/>
      <c r="L35" s="245"/>
      <c r="M35" s="245"/>
      <c r="N35" s="245"/>
      <c r="O35" s="245"/>
      <c r="P35" s="245"/>
      <c r="Q35" s="285"/>
      <c r="R35" s="285"/>
      <c r="S35" s="285"/>
      <c r="T35" s="285"/>
      <c r="U35" s="285"/>
      <c r="W35" s="245"/>
      <c r="Y35" s="285"/>
      <c r="Z35" s="245"/>
      <c r="AA35" s="245"/>
      <c r="AB35" s="245"/>
      <c r="AC35" s="245"/>
      <c r="AD35" s="245"/>
      <c r="AE35" s="245"/>
      <c r="AF35" s="245"/>
      <c r="AG35" s="245"/>
      <c r="AH35" s="245"/>
      <c r="AI35" s="245"/>
      <c r="AJ35" s="245"/>
      <c r="AK35" s="245"/>
      <c r="AL35" s="245"/>
      <c r="AM35" s="245"/>
      <c r="AN35" s="245"/>
      <c r="AR35" s="231"/>
      <c r="AS35" s="231" t="str">
        <f>IF(AS33&lt;$D$14,AS33+1,"")</f>
        <v/>
      </c>
      <c r="AT35" s="277">
        <f>IF(ISNUMBER(AS35),AW33,0)</f>
        <v>0</v>
      </c>
      <c r="AU35" s="277"/>
      <c r="AV35" s="277">
        <f t="shared" si="2"/>
        <v>0</v>
      </c>
      <c r="AW35" s="277">
        <f t="shared" si="6"/>
        <v>0</v>
      </c>
      <c r="AX35" s="231">
        <f t="shared" si="7"/>
        <v>0</v>
      </c>
      <c r="AY35" s="278">
        <f>LN(AX35+$J$37)-LN($J$37)</f>
        <v>0</v>
      </c>
      <c r="AZ35" s="231">
        <f t="shared" si="4"/>
        <v>0</v>
      </c>
    </row>
    <row r="36" spans="1:53" ht="31.5" customHeight="1" x14ac:dyDescent="0.25">
      <c r="A36" s="245"/>
      <c r="B36" s="900" t="s">
        <v>29</v>
      </c>
      <c r="C36" s="247"/>
      <c r="D36" s="903" t="s">
        <v>24</v>
      </c>
      <c r="E36" s="904"/>
      <c r="F36" s="905"/>
      <c r="G36" s="249" t="s">
        <v>16</v>
      </c>
      <c r="H36" s="906" t="s">
        <v>27</v>
      </c>
      <c r="I36" s="907"/>
      <c r="J36" s="903" t="s">
        <v>26</v>
      </c>
      <c r="K36" s="904"/>
      <c r="L36" s="904"/>
      <c r="M36" s="904"/>
      <c r="N36" s="905"/>
      <c r="O36" s="903" t="s">
        <v>17</v>
      </c>
      <c r="P36" s="905"/>
      <c r="Q36" s="338" t="s">
        <v>18</v>
      </c>
      <c r="R36" s="280" t="s">
        <v>147</v>
      </c>
      <c r="S36" s="345" t="s">
        <v>25</v>
      </c>
      <c r="T36" s="346"/>
      <c r="U36" s="280" t="s">
        <v>141</v>
      </c>
      <c r="V36" s="280" t="s">
        <v>179</v>
      </c>
      <c r="W36" s="282" t="s">
        <v>182</v>
      </c>
      <c r="X36" s="211"/>
      <c r="Y36" s="245"/>
      <c r="Z36" s="245"/>
      <c r="AA36" s="245"/>
      <c r="AB36" s="245"/>
      <c r="AC36" s="245"/>
      <c r="AD36" s="245"/>
      <c r="AE36" s="245"/>
      <c r="AF36" s="245"/>
      <c r="AG36" s="245"/>
      <c r="AH36" s="245"/>
      <c r="AI36" s="245"/>
      <c r="AJ36" s="245"/>
      <c r="AK36" s="245"/>
      <c r="AL36" s="245"/>
      <c r="AM36" s="245"/>
      <c r="AN36" s="245"/>
      <c r="AR36" s="231"/>
      <c r="AS36" s="231" t="str">
        <f t="shared" si="1"/>
        <v/>
      </c>
      <c r="AT36" s="277">
        <f t="shared" si="5"/>
        <v>0</v>
      </c>
      <c r="AU36" s="277"/>
      <c r="AV36" s="277">
        <f t="shared" si="2"/>
        <v>0</v>
      </c>
      <c r="AW36" s="277">
        <f t="shared" si="6"/>
        <v>0</v>
      </c>
      <c r="AX36" s="231">
        <f t="shared" si="7"/>
        <v>0</v>
      </c>
      <c r="AY36" s="278">
        <f>LN(AX36+$J$37)-LN($J$37)</f>
        <v>0</v>
      </c>
      <c r="AZ36" s="231">
        <f t="shared" si="4"/>
        <v>0</v>
      </c>
      <c r="BA36" s="231"/>
    </row>
    <row r="37" spans="1:53" ht="12" customHeight="1" x14ac:dyDescent="0.25">
      <c r="A37" s="245"/>
      <c r="B37" s="901"/>
      <c r="C37" s="250" t="s">
        <v>20</v>
      </c>
      <c r="D37" s="908">
        <f>Parameters!$D$27</f>
        <v>0.26900000000000002</v>
      </c>
      <c r="E37" s="909"/>
      <c r="F37" s="910"/>
      <c r="G37" s="254">
        <f>Parameters!$D$28</f>
        <v>2.41</v>
      </c>
      <c r="H37" s="911">
        <f>Parameters!$D$62</f>
        <v>4.7</v>
      </c>
      <c r="I37" s="912"/>
      <c r="J37" s="913">
        <f>Parameters!$D$59</f>
        <v>285.92228810603416</v>
      </c>
      <c r="K37" s="914"/>
      <c r="L37" s="914"/>
      <c r="M37" s="914"/>
      <c r="N37" s="915"/>
      <c r="O37" s="876">
        <f>Parameters!$D$60</f>
        <v>1000</v>
      </c>
      <c r="P37" s="877"/>
      <c r="Q37" s="279">
        <f>Parameters!$D$61</f>
        <v>212.7659574468085</v>
      </c>
      <c r="R37" s="478">
        <f>Parameters!$D$47</f>
        <v>3460.5326115592329</v>
      </c>
      <c r="S37" s="281">
        <f>Parameters!$D$48</f>
        <v>3.8550856953969204</v>
      </c>
      <c r="T37" s="339"/>
      <c r="U37" s="337">
        <f>Parameters!$D$51</f>
        <v>24.16</v>
      </c>
      <c r="V37" s="326">
        <f>Parameters!$D$43</f>
        <v>15</v>
      </c>
      <c r="W37" s="318">
        <f>Parameters!$D$44</f>
        <v>0.43099999999999999</v>
      </c>
      <c r="X37" s="314"/>
      <c r="Y37" s="245"/>
      <c r="Z37" s="237"/>
      <c r="AA37" s="245"/>
      <c r="AB37" s="245"/>
      <c r="AC37" s="245"/>
      <c r="AD37" s="245"/>
      <c r="AE37" s="245"/>
      <c r="AF37" s="245"/>
      <c r="AG37" s="245"/>
      <c r="AH37" s="245"/>
      <c r="AI37" s="245"/>
      <c r="AJ37" s="245"/>
      <c r="AK37" s="245"/>
      <c r="AL37" s="245"/>
      <c r="AM37" s="245"/>
      <c r="AN37" s="245"/>
      <c r="AO37" s="245"/>
      <c r="AS37" s="231" t="str">
        <f t="shared" si="1"/>
        <v/>
      </c>
      <c r="AT37" s="277">
        <f t="shared" si="5"/>
        <v>0</v>
      </c>
      <c r="AU37" s="277"/>
      <c r="AV37" s="277">
        <f t="shared" si="2"/>
        <v>0</v>
      </c>
      <c r="AW37" s="277">
        <f t="shared" si="6"/>
        <v>0</v>
      </c>
      <c r="AX37" s="231">
        <f t="shared" si="7"/>
        <v>0</v>
      </c>
      <c r="AY37" s="278">
        <f>LN(AX37+$J$37)-LN($J$37)</f>
        <v>0</v>
      </c>
      <c r="AZ37" s="231">
        <f t="shared" si="4"/>
        <v>0</v>
      </c>
      <c r="BA37" s="231"/>
    </row>
    <row r="38" spans="1:53" ht="12" customHeight="1" thickBot="1" x14ac:dyDescent="0.3">
      <c r="A38" s="245"/>
      <c r="B38" s="902"/>
      <c r="C38" s="251" t="s">
        <v>21</v>
      </c>
      <c r="D38" s="887" t="s">
        <v>332</v>
      </c>
      <c r="E38" s="888"/>
      <c r="F38" s="888"/>
      <c r="G38" s="889"/>
      <c r="H38" s="389" t="s">
        <v>23</v>
      </c>
      <c r="I38" s="390"/>
      <c r="J38" s="390"/>
      <c r="K38" s="390"/>
      <c r="L38" s="390"/>
      <c r="M38" s="390"/>
      <c r="N38" s="390"/>
      <c r="O38" s="390"/>
      <c r="P38" s="390"/>
      <c r="Q38" s="391"/>
      <c r="R38" s="894" t="s">
        <v>419</v>
      </c>
      <c r="S38" s="895"/>
      <c r="T38" s="896"/>
      <c r="U38" s="327" t="s">
        <v>257</v>
      </c>
      <c r="V38" s="328" t="s">
        <v>180</v>
      </c>
      <c r="W38" s="481" t="s">
        <v>220</v>
      </c>
      <c r="X38" s="426"/>
      <c r="Y38" s="245"/>
      <c r="Z38" s="237"/>
      <c r="AA38" s="245"/>
      <c r="AB38" s="245"/>
      <c r="AC38" s="245"/>
      <c r="AD38" s="245"/>
      <c r="AE38" s="245"/>
      <c r="AF38" s="245"/>
      <c r="AG38" s="245"/>
      <c r="AH38" s="245"/>
      <c r="AI38" s="245"/>
      <c r="AJ38" s="245"/>
      <c r="AK38" s="245"/>
      <c r="AL38" s="245"/>
      <c r="AM38" s="245"/>
      <c r="AN38" s="245"/>
      <c r="AO38" s="245"/>
      <c r="AP38" s="245"/>
      <c r="AQ38" s="245"/>
      <c r="AS38" s="231" t="str">
        <f t="shared" si="1"/>
        <v/>
      </c>
      <c r="AT38" s="277">
        <f t="shared" si="5"/>
        <v>0</v>
      </c>
      <c r="AU38" s="277"/>
      <c r="AV38" s="277">
        <f t="shared" si="2"/>
        <v>0</v>
      </c>
      <c r="AW38" s="277">
        <f t="shared" si="6"/>
        <v>0</v>
      </c>
      <c r="AX38" s="231">
        <f t="shared" si="7"/>
        <v>0</v>
      </c>
      <c r="AY38" s="278">
        <f>LN(AX38+$J$37)-LN($J$37)</f>
        <v>0</v>
      </c>
      <c r="AZ38" s="231">
        <f t="shared" si="4"/>
        <v>0</v>
      </c>
      <c r="BA38" s="231"/>
    </row>
    <row r="39" spans="1:53" s="245" customFormat="1" ht="15" x14ac:dyDescent="0.25">
      <c r="J39" s="307"/>
      <c r="K39" s="307"/>
      <c r="L39" s="307"/>
      <c r="M39" s="307"/>
      <c r="Z39" s="237"/>
      <c r="AS39" s="287" t="str">
        <f t="shared" si="1"/>
        <v/>
      </c>
      <c r="AT39" s="324">
        <f t="shared" si="5"/>
        <v>0</v>
      </c>
      <c r="AU39" s="324"/>
      <c r="AV39" s="324">
        <f t="shared" si="2"/>
        <v>0</v>
      </c>
      <c r="AW39" s="324">
        <f t="shared" si="6"/>
        <v>0</v>
      </c>
      <c r="AX39" s="287">
        <f t="shared" si="7"/>
        <v>0</v>
      </c>
      <c r="AY39" s="325">
        <f t="shared" ref="AY39:AY102" si="10">LN(AX39+$J$37)-LN($J$37)</f>
        <v>0</v>
      </c>
      <c r="AZ39" s="287">
        <f t="shared" si="4"/>
        <v>0</v>
      </c>
      <c r="BA39" s="287"/>
    </row>
    <row r="40" spans="1:53" s="245" customFormat="1" ht="15" x14ac:dyDescent="0.25">
      <c r="R40" s="307"/>
      <c r="AS40" s="287" t="str">
        <f t="shared" si="1"/>
        <v/>
      </c>
      <c r="AT40" s="324">
        <f t="shared" si="5"/>
        <v>0</v>
      </c>
      <c r="AU40" s="324"/>
      <c r="AV40" s="324">
        <f t="shared" si="2"/>
        <v>0</v>
      </c>
      <c r="AW40" s="324">
        <f t="shared" si="6"/>
        <v>0</v>
      </c>
      <c r="AX40" s="287">
        <f t="shared" si="7"/>
        <v>0</v>
      </c>
      <c r="AY40" s="325">
        <f t="shared" si="10"/>
        <v>0</v>
      </c>
      <c r="AZ40" s="287">
        <f t="shared" si="4"/>
        <v>0</v>
      </c>
      <c r="BA40" s="287"/>
    </row>
    <row r="41" spans="1:53" s="245" customFormat="1" ht="15" x14ac:dyDescent="0.25">
      <c r="R41" s="307"/>
      <c r="AS41" s="287" t="str">
        <f t="shared" si="1"/>
        <v/>
      </c>
      <c r="AT41" s="324">
        <f t="shared" si="5"/>
        <v>0</v>
      </c>
      <c r="AU41" s="324"/>
      <c r="AV41" s="324">
        <f t="shared" si="2"/>
        <v>0</v>
      </c>
      <c r="AW41" s="324">
        <f t="shared" si="6"/>
        <v>0</v>
      </c>
      <c r="AX41" s="287">
        <f t="shared" si="7"/>
        <v>0</v>
      </c>
      <c r="AY41" s="325">
        <f t="shared" si="10"/>
        <v>0</v>
      </c>
      <c r="AZ41" s="287">
        <f t="shared" si="4"/>
        <v>0</v>
      </c>
      <c r="BA41" s="287"/>
    </row>
    <row r="42" spans="1:53" s="245" customFormat="1" ht="15" x14ac:dyDescent="0.25">
      <c r="R42" s="307"/>
      <c r="S42" s="407"/>
      <c r="AS42" s="287" t="str">
        <f t="shared" si="1"/>
        <v/>
      </c>
      <c r="AT42" s="324">
        <f t="shared" si="5"/>
        <v>0</v>
      </c>
      <c r="AU42" s="324"/>
      <c r="AV42" s="324">
        <f t="shared" si="2"/>
        <v>0</v>
      </c>
      <c r="AW42" s="324">
        <f t="shared" si="6"/>
        <v>0</v>
      </c>
      <c r="AX42" s="287">
        <f t="shared" si="7"/>
        <v>0</v>
      </c>
      <c r="AY42" s="325">
        <f t="shared" si="10"/>
        <v>0</v>
      </c>
      <c r="AZ42" s="287">
        <f t="shared" si="4"/>
        <v>0</v>
      </c>
      <c r="BA42" s="287"/>
    </row>
    <row r="43" spans="1:53" s="245" customFormat="1" ht="15" x14ac:dyDescent="0.25">
      <c r="R43" s="409"/>
      <c r="S43" s="384"/>
      <c r="AS43" s="287" t="str">
        <f t="shared" si="1"/>
        <v/>
      </c>
      <c r="AT43" s="324">
        <f t="shared" si="5"/>
        <v>0</v>
      </c>
      <c r="AU43" s="324"/>
      <c r="AV43" s="324">
        <f t="shared" si="2"/>
        <v>0</v>
      </c>
      <c r="AW43" s="324">
        <f t="shared" si="6"/>
        <v>0</v>
      </c>
      <c r="AX43" s="287">
        <f t="shared" si="7"/>
        <v>0</v>
      </c>
      <c r="AY43" s="325">
        <f t="shared" si="10"/>
        <v>0</v>
      </c>
      <c r="AZ43" s="287">
        <f t="shared" si="4"/>
        <v>0</v>
      </c>
      <c r="BA43" s="287"/>
    </row>
    <row r="44" spans="1:53" s="245" customFormat="1" ht="15" x14ac:dyDescent="0.25">
      <c r="S44" s="384"/>
      <c r="AS44" s="287" t="str">
        <f t="shared" si="1"/>
        <v/>
      </c>
      <c r="AT44" s="324">
        <f t="shared" si="5"/>
        <v>0</v>
      </c>
      <c r="AU44" s="324"/>
      <c r="AV44" s="324">
        <f t="shared" si="2"/>
        <v>0</v>
      </c>
      <c r="AW44" s="324">
        <f t="shared" si="6"/>
        <v>0</v>
      </c>
      <c r="AX44" s="287">
        <f t="shared" si="7"/>
        <v>0</v>
      </c>
      <c r="AY44" s="325">
        <f t="shared" si="10"/>
        <v>0</v>
      </c>
      <c r="AZ44" s="287">
        <f t="shared" si="4"/>
        <v>0</v>
      </c>
      <c r="BA44" s="287"/>
    </row>
    <row r="45" spans="1:53" s="245" customFormat="1" ht="15" x14ac:dyDescent="0.25">
      <c r="S45" s="384"/>
      <c r="AS45" s="287" t="str">
        <f t="shared" si="1"/>
        <v/>
      </c>
      <c r="AT45" s="324">
        <f t="shared" si="5"/>
        <v>0</v>
      </c>
      <c r="AU45" s="324"/>
      <c r="AV45" s="324">
        <f t="shared" si="2"/>
        <v>0</v>
      </c>
      <c r="AW45" s="324">
        <f t="shared" si="6"/>
        <v>0</v>
      </c>
      <c r="AX45" s="287">
        <f t="shared" si="7"/>
        <v>0</v>
      </c>
      <c r="AY45" s="325">
        <f t="shared" si="10"/>
        <v>0</v>
      </c>
      <c r="AZ45" s="287">
        <f t="shared" si="4"/>
        <v>0</v>
      </c>
      <c r="BA45" s="287"/>
    </row>
    <row r="46" spans="1:53" s="245" customFormat="1" ht="15" x14ac:dyDescent="0.25">
      <c r="S46" s="384"/>
      <c r="AS46" s="287" t="str">
        <f t="shared" si="1"/>
        <v/>
      </c>
      <c r="AT46" s="324">
        <f t="shared" si="5"/>
        <v>0</v>
      </c>
      <c r="AU46" s="324"/>
      <c r="AV46" s="324">
        <f t="shared" si="2"/>
        <v>0</v>
      </c>
      <c r="AW46" s="324">
        <f t="shared" si="6"/>
        <v>0</v>
      </c>
      <c r="AX46" s="287">
        <f t="shared" si="7"/>
        <v>0</v>
      </c>
      <c r="AY46" s="325">
        <f t="shared" si="10"/>
        <v>0</v>
      </c>
      <c r="AZ46" s="287">
        <f t="shared" si="4"/>
        <v>0</v>
      </c>
      <c r="BA46" s="287"/>
    </row>
    <row r="47" spans="1:53" s="245" customFormat="1" ht="15" x14ac:dyDescent="0.25">
      <c r="S47" s="384"/>
      <c r="AS47" s="287" t="str">
        <f t="shared" si="1"/>
        <v/>
      </c>
      <c r="AT47" s="324">
        <f t="shared" si="5"/>
        <v>0</v>
      </c>
      <c r="AU47" s="324"/>
      <c r="AV47" s="324">
        <f t="shared" si="2"/>
        <v>0</v>
      </c>
      <c r="AW47" s="324">
        <f t="shared" si="6"/>
        <v>0</v>
      </c>
      <c r="AX47" s="287">
        <f t="shared" si="7"/>
        <v>0</v>
      </c>
      <c r="AY47" s="325">
        <f t="shared" si="10"/>
        <v>0</v>
      </c>
      <c r="AZ47" s="287">
        <f t="shared" si="4"/>
        <v>0</v>
      </c>
      <c r="BA47" s="287"/>
    </row>
    <row r="48" spans="1:53" s="245" customFormat="1" ht="15" x14ac:dyDescent="0.25">
      <c r="AS48" s="287" t="str">
        <f t="shared" si="1"/>
        <v/>
      </c>
      <c r="AT48" s="324">
        <f t="shared" si="5"/>
        <v>0</v>
      </c>
      <c r="AU48" s="324"/>
      <c r="AV48" s="324">
        <f t="shared" si="2"/>
        <v>0</v>
      </c>
      <c r="AW48" s="324">
        <f t="shared" si="6"/>
        <v>0</v>
      </c>
      <c r="AX48" s="287">
        <f t="shared" si="7"/>
        <v>0</v>
      </c>
      <c r="AY48" s="325">
        <f t="shared" si="10"/>
        <v>0</v>
      </c>
      <c r="AZ48" s="287">
        <f t="shared" si="4"/>
        <v>0</v>
      </c>
      <c r="BA48" s="287"/>
    </row>
    <row r="49" spans="45:53" s="245" customFormat="1" ht="15" x14ac:dyDescent="0.25">
      <c r="AS49" s="287" t="str">
        <f t="shared" si="1"/>
        <v/>
      </c>
      <c r="AT49" s="324">
        <f t="shared" si="5"/>
        <v>0</v>
      </c>
      <c r="AU49" s="324"/>
      <c r="AV49" s="324">
        <f t="shared" si="2"/>
        <v>0</v>
      </c>
      <c r="AW49" s="324">
        <f t="shared" si="6"/>
        <v>0</v>
      </c>
      <c r="AX49" s="287">
        <f t="shared" si="7"/>
        <v>0</v>
      </c>
      <c r="AY49" s="325">
        <f t="shared" si="10"/>
        <v>0</v>
      </c>
      <c r="AZ49" s="287">
        <f t="shared" si="4"/>
        <v>0</v>
      </c>
      <c r="BA49" s="287"/>
    </row>
    <row r="50" spans="45:53" s="245" customFormat="1" ht="15" x14ac:dyDescent="0.25">
      <c r="AS50" s="287" t="str">
        <f t="shared" si="1"/>
        <v/>
      </c>
      <c r="AT50" s="324">
        <f t="shared" si="5"/>
        <v>0</v>
      </c>
      <c r="AU50" s="324"/>
      <c r="AV50" s="324">
        <f t="shared" si="2"/>
        <v>0</v>
      </c>
      <c r="AW50" s="324">
        <f t="shared" si="6"/>
        <v>0</v>
      </c>
      <c r="AX50" s="287">
        <f t="shared" si="7"/>
        <v>0</v>
      </c>
      <c r="AY50" s="325">
        <f t="shared" si="10"/>
        <v>0</v>
      </c>
      <c r="AZ50" s="287">
        <f t="shared" si="4"/>
        <v>0</v>
      </c>
      <c r="BA50" s="287"/>
    </row>
    <row r="51" spans="45:53" s="245" customFormat="1" ht="15" x14ac:dyDescent="0.25">
      <c r="AS51" s="287" t="str">
        <f t="shared" si="1"/>
        <v/>
      </c>
      <c r="AT51" s="324">
        <f t="shared" si="5"/>
        <v>0</v>
      </c>
      <c r="AU51" s="324"/>
      <c r="AV51" s="324">
        <f t="shared" si="2"/>
        <v>0</v>
      </c>
      <c r="AW51" s="324">
        <f t="shared" si="6"/>
        <v>0</v>
      </c>
      <c r="AX51" s="287">
        <f t="shared" si="7"/>
        <v>0</v>
      </c>
      <c r="AY51" s="325">
        <f t="shared" si="10"/>
        <v>0</v>
      </c>
      <c r="AZ51" s="287">
        <f t="shared" si="4"/>
        <v>0</v>
      </c>
      <c r="BA51" s="287"/>
    </row>
    <row r="52" spans="45:53" s="245" customFormat="1" ht="15" x14ac:dyDescent="0.25">
      <c r="AS52" s="287" t="str">
        <f t="shared" si="1"/>
        <v/>
      </c>
      <c r="AT52" s="324">
        <f t="shared" si="5"/>
        <v>0</v>
      </c>
      <c r="AU52" s="324"/>
      <c r="AV52" s="324">
        <f t="shared" si="2"/>
        <v>0</v>
      </c>
      <c r="AW52" s="324">
        <f t="shared" si="6"/>
        <v>0</v>
      </c>
      <c r="AX52" s="287">
        <f t="shared" si="7"/>
        <v>0</v>
      </c>
      <c r="AY52" s="325">
        <f t="shared" si="10"/>
        <v>0</v>
      </c>
      <c r="AZ52" s="287">
        <f t="shared" si="4"/>
        <v>0</v>
      </c>
      <c r="BA52" s="287"/>
    </row>
    <row r="53" spans="45:53" s="245" customFormat="1" ht="15" x14ac:dyDescent="0.25">
      <c r="AS53" s="287" t="str">
        <f t="shared" si="1"/>
        <v/>
      </c>
      <c r="AT53" s="324">
        <f t="shared" si="5"/>
        <v>0</v>
      </c>
      <c r="AU53" s="324"/>
      <c r="AV53" s="324">
        <f t="shared" si="2"/>
        <v>0</v>
      </c>
      <c r="AW53" s="324">
        <f t="shared" si="6"/>
        <v>0</v>
      </c>
      <c r="AX53" s="287">
        <f t="shared" si="7"/>
        <v>0</v>
      </c>
      <c r="AY53" s="325">
        <f t="shared" si="10"/>
        <v>0</v>
      </c>
      <c r="AZ53" s="287">
        <f t="shared" si="4"/>
        <v>0</v>
      </c>
      <c r="BA53" s="287"/>
    </row>
    <row r="54" spans="45:53" s="245" customFormat="1" ht="15" x14ac:dyDescent="0.25">
      <c r="AS54" s="287" t="str">
        <f t="shared" si="1"/>
        <v/>
      </c>
      <c r="AT54" s="324">
        <f t="shared" si="5"/>
        <v>0</v>
      </c>
      <c r="AU54" s="324"/>
      <c r="AV54" s="324">
        <f t="shared" si="2"/>
        <v>0</v>
      </c>
      <c r="AW54" s="324">
        <f t="shared" si="6"/>
        <v>0</v>
      </c>
      <c r="AX54" s="287">
        <f t="shared" si="7"/>
        <v>0</v>
      </c>
      <c r="AY54" s="325">
        <f t="shared" si="10"/>
        <v>0</v>
      </c>
      <c r="AZ54" s="287">
        <f t="shared" si="4"/>
        <v>0</v>
      </c>
      <c r="BA54" s="287"/>
    </row>
    <row r="55" spans="45:53" s="245" customFormat="1" ht="15" x14ac:dyDescent="0.25">
      <c r="AS55" s="287" t="str">
        <f t="shared" si="1"/>
        <v/>
      </c>
      <c r="AT55" s="324">
        <f t="shared" si="5"/>
        <v>0</v>
      </c>
      <c r="AU55" s="324"/>
      <c r="AV55" s="324">
        <f t="shared" si="2"/>
        <v>0</v>
      </c>
      <c r="AW55" s="324">
        <f t="shared" si="6"/>
        <v>0</v>
      </c>
      <c r="AX55" s="287">
        <f t="shared" si="7"/>
        <v>0</v>
      </c>
      <c r="AY55" s="325">
        <f t="shared" si="10"/>
        <v>0</v>
      </c>
      <c r="AZ55" s="287">
        <f t="shared" si="4"/>
        <v>0</v>
      </c>
      <c r="BA55" s="287"/>
    </row>
    <row r="56" spans="45:53" s="245" customFormat="1" ht="15" x14ac:dyDescent="0.25">
      <c r="AS56" s="287" t="str">
        <f t="shared" si="1"/>
        <v/>
      </c>
      <c r="AT56" s="324">
        <f t="shared" si="5"/>
        <v>0</v>
      </c>
      <c r="AU56" s="324"/>
      <c r="AV56" s="324">
        <f t="shared" si="2"/>
        <v>0</v>
      </c>
      <c r="AW56" s="324">
        <f t="shared" si="6"/>
        <v>0</v>
      </c>
      <c r="AX56" s="287">
        <f t="shared" si="7"/>
        <v>0</v>
      </c>
      <c r="AY56" s="325">
        <f t="shared" si="10"/>
        <v>0</v>
      </c>
      <c r="AZ56" s="287">
        <f t="shared" si="4"/>
        <v>0</v>
      </c>
      <c r="BA56" s="287"/>
    </row>
    <row r="57" spans="45:53" s="245" customFormat="1" ht="15" x14ac:dyDescent="0.25">
      <c r="AS57" s="287" t="str">
        <f t="shared" si="1"/>
        <v/>
      </c>
      <c r="AT57" s="324">
        <f t="shared" si="5"/>
        <v>0</v>
      </c>
      <c r="AU57" s="324"/>
      <c r="AV57" s="324">
        <f t="shared" si="2"/>
        <v>0</v>
      </c>
      <c r="AW57" s="324">
        <f t="shared" si="6"/>
        <v>0</v>
      </c>
      <c r="AX57" s="287">
        <f t="shared" si="7"/>
        <v>0</v>
      </c>
      <c r="AY57" s="325">
        <f t="shared" si="10"/>
        <v>0</v>
      </c>
      <c r="AZ57" s="287">
        <f t="shared" si="4"/>
        <v>0</v>
      </c>
      <c r="BA57" s="287"/>
    </row>
    <row r="58" spans="45:53" s="245" customFormat="1" ht="15" x14ac:dyDescent="0.25">
      <c r="AS58" s="287" t="str">
        <f t="shared" si="1"/>
        <v/>
      </c>
      <c r="AT58" s="324">
        <f t="shared" si="5"/>
        <v>0</v>
      </c>
      <c r="AU58" s="324"/>
      <c r="AV58" s="324">
        <f t="shared" si="2"/>
        <v>0</v>
      </c>
      <c r="AW58" s="324">
        <f t="shared" si="6"/>
        <v>0</v>
      </c>
      <c r="AX58" s="287">
        <f t="shared" si="7"/>
        <v>0</v>
      </c>
      <c r="AY58" s="325">
        <f t="shared" si="10"/>
        <v>0</v>
      </c>
      <c r="AZ58" s="287">
        <f t="shared" si="4"/>
        <v>0</v>
      </c>
      <c r="BA58" s="287"/>
    </row>
    <row r="59" spans="45:53" s="245" customFormat="1" ht="15" x14ac:dyDescent="0.25">
      <c r="AS59" s="287" t="str">
        <f t="shared" si="1"/>
        <v/>
      </c>
      <c r="AT59" s="324">
        <f t="shared" si="5"/>
        <v>0</v>
      </c>
      <c r="AU59" s="324"/>
      <c r="AV59" s="324">
        <f t="shared" si="2"/>
        <v>0</v>
      </c>
      <c r="AW59" s="324">
        <f t="shared" si="6"/>
        <v>0</v>
      </c>
      <c r="AX59" s="287">
        <f t="shared" si="7"/>
        <v>0</v>
      </c>
      <c r="AY59" s="325">
        <f t="shared" si="10"/>
        <v>0</v>
      </c>
      <c r="AZ59" s="287">
        <f t="shared" si="4"/>
        <v>0</v>
      </c>
      <c r="BA59" s="287"/>
    </row>
    <row r="60" spans="45:53" s="245" customFormat="1" ht="15" x14ac:dyDescent="0.25">
      <c r="AS60" s="287" t="str">
        <f t="shared" si="1"/>
        <v/>
      </c>
      <c r="AT60" s="324">
        <f t="shared" si="5"/>
        <v>0</v>
      </c>
      <c r="AU60" s="324"/>
      <c r="AV60" s="324">
        <f t="shared" si="2"/>
        <v>0</v>
      </c>
      <c r="AW60" s="324">
        <f t="shared" si="6"/>
        <v>0</v>
      </c>
      <c r="AX60" s="287">
        <f t="shared" si="7"/>
        <v>0</v>
      </c>
      <c r="AY60" s="325">
        <f t="shared" si="10"/>
        <v>0</v>
      </c>
      <c r="AZ60" s="287">
        <f t="shared" si="4"/>
        <v>0</v>
      </c>
      <c r="BA60" s="287"/>
    </row>
    <row r="61" spans="45:53" s="245" customFormat="1" ht="15" x14ac:dyDescent="0.25">
      <c r="AS61" s="287" t="str">
        <f t="shared" si="1"/>
        <v/>
      </c>
      <c r="AT61" s="324">
        <f t="shared" si="5"/>
        <v>0</v>
      </c>
      <c r="AU61" s="324"/>
      <c r="AV61" s="324">
        <f t="shared" si="2"/>
        <v>0</v>
      </c>
      <c r="AW61" s="324">
        <f t="shared" si="6"/>
        <v>0</v>
      </c>
      <c r="AX61" s="287">
        <f t="shared" si="7"/>
        <v>0</v>
      </c>
      <c r="AY61" s="325">
        <f t="shared" si="10"/>
        <v>0</v>
      </c>
      <c r="AZ61" s="287">
        <f t="shared" si="4"/>
        <v>0</v>
      </c>
      <c r="BA61" s="287"/>
    </row>
    <row r="62" spans="45:53" s="245" customFormat="1" ht="15" x14ac:dyDescent="0.25">
      <c r="AS62" s="287" t="str">
        <f t="shared" si="1"/>
        <v/>
      </c>
      <c r="AT62" s="324">
        <f t="shared" si="5"/>
        <v>0</v>
      </c>
      <c r="AU62" s="324"/>
      <c r="AV62" s="324">
        <f t="shared" si="2"/>
        <v>0</v>
      </c>
      <c r="AW62" s="324">
        <f t="shared" si="6"/>
        <v>0</v>
      </c>
      <c r="AX62" s="287">
        <f t="shared" si="7"/>
        <v>0</v>
      </c>
      <c r="AY62" s="325">
        <f t="shared" si="10"/>
        <v>0</v>
      </c>
      <c r="AZ62" s="287">
        <f t="shared" si="4"/>
        <v>0</v>
      </c>
      <c r="BA62" s="287"/>
    </row>
    <row r="63" spans="45:53" s="245" customFormat="1" ht="15" x14ac:dyDescent="0.25">
      <c r="AS63" s="287" t="str">
        <f t="shared" si="1"/>
        <v/>
      </c>
      <c r="AT63" s="324">
        <f t="shared" si="5"/>
        <v>0</v>
      </c>
      <c r="AU63" s="324"/>
      <c r="AV63" s="324">
        <f t="shared" si="2"/>
        <v>0</v>
      </c>
      <c r="AW63" s="324">
        <f t="shared" si="6"/>
        <v>0</v>
      </c>
      <c r="AX63" s="287">
        <f t="shared" si="7"/>
        <v>0</v>
      </c>
      <c r="AY63" s="325">
        <f t="shared" si="10"/>
        <v>0</v>
      </c>
      <c r="AZ63" s="287">
        <f t="shared" si="4"/>
        <v>0</v>
      </c>
      <c r="BA63" s="287"/>
    </row>
    <row r="64" spans="45:53" s="245" customFormat="1" ht="15" x14ac:dyDescent="0.25">
      <c r="AS64" s="287" t="str">
        <f t="shared" si="1"/>
        <v/>
      </c>
      <c r="AT64" s="324">
        <f t="shared" si="5"/>
        <v>0</v>
      </c>
      <c r="AU64" s="324"/>
      <c r="AV64" s="324">
        <f t="shared" si="2"/>
        <v>0</v>
      </c>
      <c r="AW64" s="324">
        <f t="shared" si="6"/>
        <v>0</v>
      </c>
      <c r="AX64" s="287">
        <f t="shared" si="7"/>
        <v>0</v>
      </c>
      <c r="AY64" s="325">
        <f t="shared" si="10"/>
        <v>0</v>
      </c>
      <c r="AZ64" s="287">
        <f t="shared" si="4"/>
        <v>0</v>
      </c>
      <c r="BA64" s="287"/>
    </row>
    <row r="65" spans="45:53" s="245" customFormat="1" ht="15" x14ac:dyDescent="0.25">
      <c r="AS65" s="287" t="str">
        <f t="shared" si="1"/>
        <v/>
      </c>
      <c r="AT65" s="324">
        <f t="shared" si="5"/>
        <v>0</v>
      </c>
      <c r="AU65" s="324"/>
      <c r="AV65" s="324">
        <f t="shared" si="2"/>
        <v>0</v>
      </c>
      <c r="AW65" s="324">
        <f t="shared" si="6"/>
        <v>0</v>
      </c>
      <c r="AX65" s="287">
        <f t="shared" si="7"/>
        <v>0</v>
      </c>
      <c r="AY65" s="325">
        <f t="shared" si="10"/>
        <v>0</v>
      </c>
      <c r="AZ65" s="287">
        <f t="shared" si="4"/>
        <v>0</v>
      </c>
      <c r="BA65" s="287"/>
    </row>
    <row r="66" spans="45:53" s="245" customFormat="1" ht="15" x14ac:dyDescent="0.25">
      <c r="AS66" s="287" t="str">
        <f t="shared" si="1"/>
        <v/>
      </c>
      <c r="AT66" s="324">
        <f t="shared" si="5"/>
        <v>0</v>
      </c>
      <c r="AU66" s="324"/>
      <c r="AV66" s="324">
        <f t="shared" si="2"/>
        <v>0</v>
      </c>
      <c r="AW66" s="324">
        <f t="shared" si="6"/>
        <v>0</v>
      </c>
      <c r="AX66" s="287">
        <f t="shared" si="7"/>
        <v>0</v>
      </c>
      <c r="AY66" s="325">
        <f t="shared" si="10"/>
        <v>0</v>
      </c>
      <c r="AZ66" s="287">
        <f t="shared" si="4"/>
        <v>0</v>
      </c>
      <c r="BA66" s="287"/>
    </row>
    <row r="67" spans="45:53" s="245" customFormat="1" ht="15" x14ac:dyDescent="0.25">
      <c r="AS67" s="287" t="str">
        <f t="shared" si="1"/>
        <v/>
      </c>
      <c r="AT67" s="324">
        <f t="shared" si="5"/>
        <v>0</v>
      </c>
      <c r="AU67" s="324"/>
      <c r="AV67" s="324">
        <f t="shared" si="2"/>
        <v>0</v>
      </c>
      <c r="AW67" s="324">
        <f t="shared" si="6"/>
        <v>0</v>
      </c>
      <c r="AX67" s="287">
        <f t="shared" si="7"/>
        <v>0</v>
      </c>
      <c r="AY67" s="325">
        <f t="shared" si="10"/>
        <v>0</v>
      </c>
      <c r="AZ67" s="287">
        <f t="shared" si="4"/>
        <v>0</v>
      </c>
      <c r="BA67" s="287"/>
    </row>
    <row r="68" spans="45:53" s="245" customFormat="1" ht="15" x14ac:dyDescent="0.25">
      <c r="AS68" s="287" t="str">
        <f t="shared" si="1"/>
        <v/>
      </c>
      <c r="AT68" s="324">
        <f t="shared" si="5"/>
        <v>0</v>
      </c>
      <c r="AU68" s="324"/>
      <c r="AV68" s="324">
        <f t="shared" si="2"/>
        <v>0</v>
      </c>
      <c r="AW68" s="324">
        <f t="shared" si="6"/>
        <v>0</v>
      </c>
      <c r="AX68" s="287">
        <f t="shared" si="7"/>
        <v>0</v>
      </c>
      <c r="AY68" s="325">
        <f t="shared" si="10"/>
        <v>0</v>
      </c>
      <c r="AZ68" s="287">
        <f t="shared" si="4"/>
        <v>0</v>
      </c>
      <c r="BA68" s="287"/>
    </row>
    <row r="69" spans="45:53" s="245" customFormat="1" ht="15" x14ac:dyDescent="0.25">
      <c r="AS69" s="287" t="str">
        <f t="shared" ref="AS69:AS114" si="11">IF(AS68&lt;$D$14,AS68+1,"")</f>
        <v/>
      </c>
      <c r="AT69" s="324">
        <f t="shared" si="5"/>
        <v>0</v>
      </c>
      <c r="AU69" s="324"/>
      <c r="AV69" s="324">
        <f t="shared" si="2"/>
        <v>0</v>
      </c>
      <c r="AW69" s="324">
        <f t="shared" si="6"/>
        <v>0</v>
      </c>
      <c r="AX69" s="287">
        <f t="shared" si="7"/>
        <v>0</v>
      </c>
      <c r="AY69" s="325">
        <f t="shared" si="10"/>
        <v>0</v>
      </c>
      <c r="AZ69" s="287">
        <f t="shared" si="4"/>
        <v>0</v>
      </c>
      <c r="BA69" s="287"/>
    </row>
    <row r="70" spans="45:53" s="245" customFormat="1" ht="15" x14ac:dyDescent="0.25">
      <c r="AS70" s="287" t="str">
        <f t="shared" si="11"/>
        <v/>
      </c>
      <c r="AT70" s="324">
        <f t="shared" si="5"/>
        <v>0</v>
      </c>
      <c r="AU70" s="324"/>
      <c r="AV70" s="324">
        <f t="shared" si="2"/>
        <v>0</v>
      </c>
      <c r="AW70" s="324">
        <f t="shared" si="6"/>
        <v>0</v>
      </c>
      <c r="AX70" s="287">
        <f t="shared" si="7"/>
        <v>0</v>
      </c>
      <c r="AY70" s="325">
        <f t="shared" si="10"/>
        <v>0</v>
      </c>
      <c r="AZ70" s="287">
        <f t="shared" si="4"/>
        <v>0</v>
      </c>
      <c r="BA70" s="287"/>
    </row>
    <row r="71" spans="45:53" s="245" customFormat="1" ht="15" x14ac:dyDescent="0.25">
      <c r="AS71" s="287" t="str">
        <f t="shared" si="11"/>
        <v/>
      </c>
      <c r="AT71" s="324">
        <f t="shared" si="5"/>
        <v>0</v>
      </c>
      <c r="AU71" s="324"/>
      <c r="AV71" s="324">
        <f t="shared" si="2"/>
        <v>0</v>
      </c>
      <c r="AW71" s="324">
        <f t="shared" si="6"/>
        <v>0</v>
      </c>
      <c r="AX71" s="287">
        <f t="shared" si="7"/>
        <v>0</v>
      </c>
      <c r="AY71" s="325">
        <f t="shared" si="10"/>
        <v>0</v>
      </c>
      <c r="AZ71" s="287">
        <f t="shared" si="4"/>
        <v>0</v>
      </c>
      <c r="BA71" s="287"/>
    </row>
    <row r="72" spans="45:53" s="245" customFormat="1" ht="15" x14ac:dyDescent="0.25">
      <c r="AS72" s="287" t="str">
        <f t="shared" si="11"/>
        <v/>
      </c>
      <c r="AT72" s="324">
        <f t="shared" si="5"/>
        <v>0</v>
      </c>
      <c r="AU72" s="324"/>
      <c r="AV72" s="324">
        <f t="shared" ref="AV72:AV114" si="12">$D$10*AT72</f>
        <v>0</v>
      </c>
      <c r="AW72" s="324">
        <f t="shared" si="6"/>
        <v>0</v>
      </c>
      <c r="AX72" s="287">
        <f t="shared" si="7"/>
        <v>0</v>
      </c>
      <c r="AY72" s="325">
        <f t="shared" si="10"/>
        <v>0</v>
      </c>
      <c r="AZ72" s="287">
        <f t="shared" ref="AZ72:AZ114" si="13">IF(ISNUMBER(AS72),AY72/(1+$D$7)^AS72,0)</f>
        <v>0</v>
      </c>
      <c r="BA72" s="287"/>
    </row>
    <row r="73" spans="45:53" s="245" customFormat="1" ht="15" x14ac:dyDescent="0.25">
      <c r="AS73" s="287" t="str">
        <f t="shared" si="11"/>
        <v/>
      </c>
      <c r="AT73" s="324">
        <f t="shared" ref="AT73:AT114" si="14">IF(ISNUMBER(AS73),AW72,0)</f>
        <v>0</v>
      </c>
      <c r="AU73" s="324"/>
      <c r="AV73" s="324">
        <f t="shared" si="12"/>
        <v>0</v>
      </c>
      <c r="AW73" s="324">
        <f t="shared" ref="AW73:AW114" si="15">AT73</f>
        <v>0</v>
      </c>
      <c r="AX73" s="287">
        <f t="shared" si="7"/>
        <v>0</v>
      </c>
      <c r="AY73" s="325">
        <f t="shared" si="10"/>
        <v>0</v>
      </c>
      <c r="AZ73" s="287">
        <f t="shared" si="13"/>
        <v>0</v>
      </c>
      <c r="BA73" s="287"/>
    </row>
    <row r="74" spans="45:53" s="245" customFormat="1" ht="15" x14ac:dyDescent="0.25">
      <c r="AS74" s="287" t="str">
        <f t="shared" si="11"/>
        <v/>
      </c>
      <c r="AT74" s="324">
        <f t="shared" si="14"/>
        <v>0</v>
      </c>
      <c r="AU74" s="324"/>
      <c r="AV74" s="324">
        <f t="shared" si="12"/>
        <v>0</v>
      </c>
      <c r="AW74" s="324">
        <f t="shared" si="15"/>
        <v>0</v>
      </c>
      <c r="AX74" s="287">
        <f t="shared" si="7"/>
        <v>0</v>
      </c>
      <c r="AY74" s="325">
        <f t="shared" si="10"/>
        <v>0</v>
      </c>
      <c r="AZ74" s="287">
        <f t="shared" si="13"/>
        <v>0</v>
      </c>
      <c r="BA74" s="287"/>
    </row>
    <row r="75" spans="45:53" s="245" customFormat="1" ht="15" x14ac:dyDescent="0.25">
      <c r="AS75" s="287" t="str">
        <f t="shared" si="11"/>
        <v/>
      </c>
      <c r="AT75" s="324">
        <f t="shared" si="14"/>
        <v>0</v>
      </c>
      <c r="AU75" s="324"/>
      <c r="AV75" s="324">
        <f t="shared" si="12"/>
        <v>0</v>
      </c>
      <c r="AW75" s="324">
        <f t="shared" si="15"/>
        <v>0</v>
      </c>
      <c r="AX75" s="287">
        <f t="shared" si="7"/>
        <v>0</v>
      </c>
      <c r="AY75" s="325">
        <f t="shared" si="10"/>
        <v>0</v>
      </c>
      <c r="AZ75" s="287">
        <f t="shared" si="13"/>
        <v>0</v>
      </c>
      <c r="BA75" s="287"/>
    </row>
    <row r="76" spans="45:53" s="245" customFormat="1" ht="15" x14ac:dyDescent="0.25">
      <c r="AS76" s="287" t="str">
        <f t="shared" si="11"/>
        <v/>
      </c>
      <c r="AT76" s="324">
        <f t="shared" si="14"/>
        <v>0</v>
      </c>
      <c r="AU76" s="324"/>
      <c r="AV76" s="324">
        <f t="shared" si="12"/>
        <v>0</v>
      </c>
      <c r="AW76" s="324">
        <f t="shared" si="15"/>
        <v>0</v>
      </c>
      <c r="AX76" s="287">
        <f t="shared" si="7"/>
        <v>0</v>
      </c>
      <c r="AY76" s="325">
        <f t="shared" si="10"/>
        <v>0</v>
      </c>
      <c r="AZ76" s="287">
        <f t="shared" si="13"/>
        <v>0</v>
      </c>
      <c r="BA76" s="287"/>
    </row>
    <row r="77" spans="45:53" s="245" customFormat="1" ht="15" x14ac:dyDescent="0.25">
      <c r="AS77" s="287" t="str">
        <f t="shared" si="11"/>
        <v/>
      </c>
      <c r="AT77" s="324">
        <f t="shared" si="14"/>
        <v>0</v>
      </c>
      <c r="AU77" s="324"/>
      <c r="AV77" s="324">
        <f t="shared" si="12"/>
        <v>0</v>
      </c>
      <c r="AW77" s="324">
        <f t="shared" si="15"/>
        <v>0</v>
      </c>
      <c r="AX77" s="287">
        <f t="shared" si="7"/>
        <v>0</v>
      </c>
      <c r="AY77" s="325">
        <f t="shared" si="10"/>
        <v>0</v>
      </c>
      <c r="AZ77" s="287">
        <f t="shared" si="13"/>
        <v>0</v>
      </c>
      <c r="BA77" s="287"/>
    </row>
    <row r="78" spans="45:53" s="245" customFormat="1" ht="15" x14ac:dyDescent="0.25">
      <c r="AS78" s="287" t="str">
        <f t="shared" si="11"/>
        <v/>
      </c>
      <c r="AT78" s="324">
        <f t="shared" si="14"/>
        <v>0</v>
      </c>
      <c r="AU78" s="324"/>
      <c r="AV78" s="324">
        <f t="shared" si="12"/>
        <v>0</v>
      </c>
      <c r="AW78" s="324">
        <f t="shared" si="15"/>
        <v>0</v>
      </c>
      <c r="AX78" s="287">
        <f t="shared" si="7"/>
        <v>0</v>
      </c>
      <c r="AY78" s="325">
        <f t="shared" si="10"/>
        <v>0</v>
      </c>
      <c r="AZ78" s="287">
        <f t="shared" si="13"/>
        <v>0</v>
      </c>
      <c r="BA78" s="287"/>
    </row>
    <row r="79" spans="45:53" s="245" customFormat="1" ht="15" x14ac:dyDescent="0.25">
      <c r="AS79" s="287" t="str">
        <f t="shared" si="11"/>
        <v/>
      </c>
      <c r="AT79" s="324">
        <f t="shared" si="14"/>
        <v>0</v>
      </c>
      <c r="AU79" s="324"/>
      <c r="AV79" s="324">
        <f t="shared" si="12"/>
        <v>0</v>
      </c>
      <c r="AW79" s="324">
        <f t="shared" si="15"/>
        <v>0</v>
      </c>
      <c r="AX79" s="287">
        <f t="shared" si="7"/>
        <v>0</v>
      </c>
      <c r="AY79" s="325">
        <f t="shared" si="10"/>
        <v>0</v>
      </c>
      <c r="AZ79" s="287">
        <f t="shared" si="13"/>
        <v>0</v>
      </c>
      <c r="BA79" s="287"/>
    </row>
    <row r="80" spans="45:53" s="245" customFormat="1" ht="15" x14ac:dyDescent="0.25">
      <c r="AS80" s="287" t="str">
        <f t="shared" si="11"/>
        <v/>
      </c>
      <c r="AT80" s="324">
        <f t="shared" si="14"/>
        <v>0</v>
      </c>
      <c r="AU80" s="324"/>
      <c r="AV80" s="324">
        <f t="shared" si="12"/>
        <v>0</v>
      </c>
      <c r="AW80" s="324">
        <f t="shared" si="15"/>
        <v>0</v>
      </c>
      <c r="AX80" s="287">
        <f t="shared" si="7"/>
        <v>0</v>
      </c>
      <c r="AY80" s="325">
        <f t="shared" si="10"/>
        <v>0</v>
      </c>
      <c r="AZ80" s="287">
        <f t="shared" si="13"/>
        <v>0</v>
      </c>
      <c r="BA80" s="287"/>
    </row>
    <row r="81" spans="45:53" s="245" customFormat="1" ht="15" x14ac:dyDescent="0.25">
      <c r="AS81" s="287" t="str">
        <f t="shared" si="11"/>
        <v/>
      </c>
      <c r="AT81" s="324">
        <f t="shared" si="14"/>
        <v>0</v>
      </c>
      <c r="AU81" s="324"/>
      <c r="AV81" s="324">
        <f t="shared" si="12"/>
        <v>0</v>
      </c>
      <c r="AW81" s="324">
        <f t="shared" si="15"/>
        <v>0</v>
      </c>
      <c r="AX81" s="287">
        <f t="shared" si="7"/>
        <v>0</v>
      </c>
      <c r="AY81" s="325">
        <f t="shared" si="10"/>
        <v>0</v>
      </c>
      <c r="AZ81" s="287">
        <f t="shared" si="13"/>
        <v>0</v>
      </c>
      <c r="BA81" s="287"/>
    </row>
    <row r="82" spans="45:53" s="245" customFormat="1" ht="15" x14ac:dyDescent="0.25">
      <c r="AS82" s="287" t="str">
        <f t="shared" si="11"/>
        <v/>
      </c>
      <c r="AT82" s="324">
        <f t="shared" si="14"/>
        <v>0</v>
      </c>
      <c r="AU82" s="324"/>
      <c r="AV82" s="324">
        <f t="shared" si="12"/>
        <v>0</v>
      </c>
      <c r="AW82" s="324">
        <f t="shared" si="15"/>
        <v>0</v>
      </c>
      <c r="AX82" s="287">
        <f t="shared" ref="AX82:AX114" si="16">IF(ISNUMBER(AS83),SUM(AU82:AV82),SUM(AU82:AW82))</f>
        <v>0</v>
      </c>
      <c r="AY82" s="325">
        <f t="shared" si="10"/>
        <v>0</v>
      </c>
      <c r="AZ82" s="287">
        <f t="shared" si="13"/>
        <v>0</v>
      </c>
      <c r="BA82" s="287"/>
    </row>
    <row r="83" spans="45:53" s="245" customFormat="1" ht="15" x14ac:dyDescent="0.25">
      <c r="AS83" s="287" t="str">
        <f t="shared" si="11"/>
        <v/>
      </c>
      <c r="AT83" s="324">
        <f t="shared" si="14"/>
        <v>0</v>
      </c>
      <c r="AU83" s="324"/>
      <c r="AV83" s="324">
        <f t="shared" si="12"/>
        <v>0</v>
      </c>
      <c r="AW83" s="324">
        <f t="shared" si="15"/>
        <v>0</v>
      </c>
      <c r="AX83" s="287">
        <f t="shared" si="16"/>
        <v>0</v>
      </c>
      <c r="AY83" s="325">
        <f t="shared" si="10"/>
        <v>0</v>
      </c>
      <c r="AZ83" s="287">
        <f t="shared" si="13"/>
        <v>0</v>
      </c>
      <c r="BA83" s="287"/>
    </row>
    <row r="84" spans="45:53" s="245" customFormat="1" ht="15" x14ac:dyDescent="0.25">
      <c r="AS84" s="287" t="str">
        <f t="shared" si="11"/>
        <v/>
      </c>
      <c r="AT84" s="324">
        <f t="shared" si="14"/>
        <v>0</v>
      </c>
      <c r="AU84" s="324"/>
      <c r="AV84" s="324">
        <f t="shared" si="12"/>
        <v>0</v>
      </c>
      <c r="AW84" s="324">
        <f t="shared" si="15"/>
        <v>0</v>
      </c>
      <c r="AX84" s="287">
        <f t="shared" si="16"/>
        <v>0</v>
      </c>
      <c r="AY84" s="325">
        <f t="shared" si="10"/>
        <v>0</v>
      </c>
      <c r="AZ84" s="287">
        <f t="shared" si="13"/>
        <v>0</v>
      </c>
      <c r="BA84" s="287"/>
    </row>
    <row r="85" spans="45:53" s="245" customFormat="1" ht="15" x14ac:dyDescent="0.25">
      <c r="AS85" s="287" t="str">
        <f t="shared" si="11"/>
        <v/>
      </c>
      <c r="AT85" s="324">
        <f t="shared" si="14"/>
        <v>0</v>
      </c>
      <c r="AU85" s="324"/>
      <c r="AV85" s="324">
        <f t="shared" si="12"/>
        <v>0</v>
      </c>
      <c r="AW85" s="324">
        <f t="shared" si="15"/>
        <v>0</v>
      </c>
      <c r="AX85" s="287">
        <f t="shared" si="16"/>
        <v>0</v>
      </c>
      <c r="AY85" s="325">
        <f t="shared" si="10"/>
        <v>0</v>
      </c>
      <c r="AZ85" s="287">
        <f t="shared" si="13"/>
        <v>0</v>
      </c>
      <c r="BA85" s="287"/>
    </row>
    <row r="86" spans="45:53" s="245" customFormat="1" ht="15" x14ac:dyDescent="0.25">
      <c r="AS86" s="287" t="str">
        <f t="shared" si="11"/>
        <v/>
      </c>
      <c r="AT86" s="324">
        <f t="shared" si="14"/>
        <v>0</v>
      </c>
      <c r="AU86" s="324"/>
      <c r="AV86" s="324">
        <f t="shared" si="12"/>
        <v>0</v>
      </c>
      <c r="AW86" s="324">
        <f t="shared" si="15"/>
        <v>0</v>
      </c>
      <c r="AX86" s="287">
        <f t="shared" si="16"/>
        <v>0</v>
      </c>
      <c r="AY86" s="325">
        <f t="shared" si="10"/>
        <v>0</v>
      </c>
      <c r="AZ86" s="287">
        <f t="shared" si="13"/>
        <v>0</v>
      </c>
      <c r="BA86" s="287"/>
    </row>
    <row r="87" spans="45:53" s="245" customFormat="1" ht="15" x14ac:dyDescent="0.25">
      <c r="AS87" s="287" t="str">
        <f t="shared" si="11"/>
        <v/>
      </c>
      <c r="AT87" s="324">
        <f t="shared" si="14"/>
        <v>0</v>
      </c>
      <c r="AU87" s="324"/>
      <c r="AV87" s="324">
        <f t="shared" si="12"/>
        <v>0</v>
      </c>
      <c r="AW87" s="324">
        <f t="shared" si="15"/>
        <v>0</v>
      </c>
      <c r="AX87" s="287">
        <f t="shared" si="16"/>
        <v>0</v>
      </c>
      <c r="AY87" s="325">
        <f t="shared" si="10"/>
        <v>0</v>
      </c>
      <c r="AZ87" s="287">
        <f t="shared" si="13"/>
        <v>0</v>
      </c>
      <c r="BA87" s="287"/>
    </row>
    <row r="88" spans="45:53" s="245" customFormat="1" ht="15" x14ac:dyDescent="0.25">
      <c r="AS88" s="287" t="str">
        <f t="shared" si="11"/>
        <v/>
      </c>
      <c r="AT88" s="324">
        <f t="shared" si="14"/>
        <v>0</v>
      </c>
      <c r="AU88" s="324"/>
      <c r="AV88" s="324">
        <f t="shared" si="12"/>
        <v>0</v>
      </c>
      <c r="AW88" s="324">
        <f t="shared" si="15"/>
        <v>0</v>
      </c>
      <c r="AX88" s="287">
        <f t="shared" si="16"/>
        <v>0</v>
      </c>
      <c r="AY88" s="325">
        <f t="shared" si="10"/>
        <v>0</v>
      </c>
      <c r="AZ88" s="287">
        <f t="shared" si="13"/>
        <v>0</v>
      </c>
      <c r="BA88" s="287"/>
    </row>
    <row r="89" spans="45:53" s="245" customFormat="1" ht="15" x14ac:dyDescent="0.25">
      <c r="AS89" s="287" t="str">
        <f t="shared" si="11"/>
        <v/>
      </c>
      <c r="AT89" s="324">
        <f t="shared" si="14"/>
        <v>0</v>
      </c>
      <c r="AU89" s="324"/>
      <c r="AV89" s="324">
        <f t="shared" si="12"/>
        <v>0</v>
      </c>
      <c r="AW89" s="324">
        <f t="shared" si="15"/>
        <v>0</v>
      </c>
      <c r="AX89" s="287">
        <f t="shared" si="16"/>
        <v>0</v>
      </c>
      <c r="AY89" s="325">
        <f t="shared" si="10"/>
        <v>0</v>
      </c>
      <c r="AZ89" s="287">
        <f t="shared" si="13"/>
        <v>0</v>
      </c>
      <c r="BA89" s="287"/>
    </row>
    <row r="90" spans="45:53" s="245" customFormat="1" ht="15" x14ac:dyDescent="0.25">
      <c r="AS90" s="287" t="str">
        <f t="shared" si="11"/>
        <v/>
      </c>
      <c r="AT90" s="324">
        <f t="shared" si="14"/>
        <v>0</v>
      </c>
      <c r="AU90" s="324"/>
      <c r="AV90" s="324">
        <f t="shared" si="12"/>
        <v>0</v>
      </c>
      <c r="AW90" s="324">
        <f t="shared" si="15"/>
        <v>0</v>
      </c>
      <c r="AX90" s="287">
        <f t="shared" si="16"/>
        <v>0</v>
      </c>
      <c r="AY90" s="325">
        <f t="shared" si="10"/>
        <v>0</v>
      </c>
      <c r="AZ90" s="287">
        <f t="shared" si="13"/>
        <v>0</v>
      </c>
      <c r="BA90" s="287"/>
    </row>
    <row r="91" spans="45:53" s="245" customFormat="1" ht="15" x14ac:dyDescent="0.25">
      <c r="AS91" s="287" t="str">
        <f t="shared" si="11"/>
        <v/>
      </c>
      <c r="AT91" s="324">
        <f t="shared" si="14"/>
        <v>0</v>
      </c>
      <c r="AU91" s="324"/>
      <c r="AV91" s="324">
        <f t="shared" si="12"/>
        <v>0</v>
      </c>
      <c r="AW91" s="324">
        <f t="shared" si="15"/>
        <v>0</v>
      </c>
      <c r="AX91" s="287">
        <f t="shared" si="16"/>
        <v>0</v>
      </c>
      <c r="AY91" s="325">
        <f t="shared" si="10"/>
        <v>0</v>
      </c>
      <c r="AZ91" s="287">
        <f t="shared" si="13"/>
        <v>0</v>
      </c>
      <c r="BA91" s="287"/>
    </row>
    <row r="92" spans="45:53" s="245" customFormat="1" ht="15" x14ac:dyDescent="0.25">
      <c r="AS92" s="287" t="str">
        <f t="shared" si="11"/>
        <v/>
      </c>
      <c r="AT92" s="324">
        <f t="shared" si="14"/>
        <v>0</v>
      </c>
      <c r="AU92" s="324"/>
      <c r="AV92" s="324">
        <f t="shared" si="12"/>
        <v>0</v>
      </c>
      <c r="AW92" s="324">
        <f t="shared" si="15"/>
        <v>0</v>
      </c>
      <c r="AX92" s="287">
        <f t="shared" si="16"/>
        <v>0</v>
      </c>
      <c r="AY92" s="325">
        <f t="shared" si="10"/>
        <v>0</v>
      </c>
      <c r="AZ92" s="287">
        <f t="shared" si="13"/>
        <v>0</v>
      </c>
      <c r="BA92" s="287"/>
    </row>
    <row r="93" spans="45:53" s="245" customFormat="1" ht="15" x14ac:dyDescent="0.25">
      <c r="AS93" s="287" t="str">
        <f t="shared" si="11"/>
        <v/>
      </c>
      <c r="AT93" s="324">
        <f t="shared" si="14"/>
        <v>0</v>
      </c>
      <c r="AU93" s="324"/>
      <c r="AV93" s="324">
        <f t="shared" si="12"/>
        <v>0</v>
      </c>
      <c r="AW93" s="324">
        <f t="shared" si="15"/>
        <v>0</v>
      </c>
      <c r="AX93" s="287">
        <f t="shared" si="16"/>
        <v>0</v>
      </c>
      <c r="AY93" s="325">
        <f t="shared" si="10"/>
        <v>0</v>
      </c>
      <c r="AZ93" s="287">
        <f t="shared" si="13"/>
        <v>0</v>
      </c>
      <c r="BA93" s="287"/>
    </row>
    <row r="94" spans="45:53" s="245" customFormat="1" ht="15" x14ac:dyDescent="0.25">
      <c r="AS94" s="287" t="str">
        <f t="shared" si="11"/>
        <v/>
      </c>
      <c r="AT94" s="324">
        <f t="shared" si="14"/>
        <v>0</v>
      </c>
      <c r="AU94" s="324"/>
      <c r="AV94" s="324">
        <f t="shared" si="12"/>
        <v>0</v>
      </c>
      <c r="AW94" s="324">
        <f t="shared" si="15"/>
        <v>0</v>
      </c>
      <c r="AX94" s="287">
        <f t="shared" si="16"/>
        <v>0</v>
      </c>
      <c r="AY94" s="325">
        <f t="shared" si="10"/>
        <v>0</v>
      </c>
      <c r="AZ94" s="287">
        <f t="shared" si="13"/>
        <v>0</v>
      </c>
      <c r="BA94" s="287"/>
    </row>
    <row r="95" spans="45:53" s="245" customFormat="1" ht="15" x14ac:dyDescent="0.25">
      <c r="AS95" s="287" t="str">
        <f t="shared" si="11"/>
        <v/>
      </c>
      <c r="AT95" s="324">
        <f t="shared" si="14"/>
        <v>0</v>
      </c>
      <c r="AU95" s="324"/>
      <c r="AV95" s="324">
        <f t="shared" si="12"/>
        <v>0</v>
      </c>
      <c r="AW95" s="324">
        <f t="shared" si="15"/>
        <v>0</v>
      </c>
      <c r="AX95" s="287">
        <f t="shared" si="16"/>
        <v>0</v>
      </c>
      <c r="AY95" s="325">
        <f t="shared" si="10"/>
        <v>0</v>
      </c>
      <c r="AZ95" s="287">
        <f t="shared" si="13"/>
        <v>0</v>
      </c>
      <c r="BA95" s="287"/>
    </row>
    <row r="96" spans="45:53" s="245" customFormat="1" ht="15" x14ac:dyDescent="0.25">
      <c r="AS96" s="287" t="str">
        <f t="shared" si="11"/>
        <v/>
      </c>
      <c r="AT96" s="324">
        <f t="shared" si="14"/>
        <v>0</v>
      </c>
      <c r="AU96" s="324"/>
      <c r="AV96" s="324">
        <f t="shared" si="12"/>
        <v>0</v>
      </c>
      <c r="AW96" s="324">
        <f t="shared" si="15"/>
        <v>0</v>
      </c>
      <c r="AX96" s="287">
        <f t="shared" si="16"/>
        <v>0</v>
      </c>
      <c r="AY96" s="325">
        <f t="shared" si="10"/>
        <v>0</v>
      </c>
      <c r="AZ96" s="287">
        <f t="shared" si="13"/>
        <v>0</v>
      </c>
      <c r="BA96" s="287"/>
    </row>
    <row r="97" spans="45:53" s="245" customFormat="1" ht="15" x14ac:dyDescent="0.25">
      <c r="AS97" s="287" t="str">
        <f t="shared" si="11"/>
        <v/>
      </c>
      <c r="AT97" s="324">
        <f t="shared" si="14"/>
        <v>0</v>
      </c>
      <c r="AU97" s="324"/>
      <c r="AV97" s="324">
        <f t="shared" si="12"/>
        <v>0</v>
      </c>
      <c r="AW97" s="324">
        <f t="shared" si="15"/>
        <v>0</v>
      </c>
      <c r="AX97" s="287">
        <f t="shared" si="16"/>
        <v>0</v>
      </c>
      <c r="AY97" s="325">
        <f t="shared" si="10"/>
        <v>0</v>
      </c>
      <c r="AZ97" s="287">
        <f t="shared" si="13"/>
        <v>0</v>
      </c>
      <c r="BA97" s="287"/>
    </row>
    <row r="98" spans="45:53" s="245" customFormat="1" ht="15" x14ac:dyDescent="0.25">
      <c r="AS98" s="287" t="str">
        <f t="shared" si="11"/>
        <v/>
      </c>
      <c r="AT98" s="324">
        <f t="shared" si="14"/>
        <v>0</v>
      </c>
      <c r="AU98" s="324"/>
      <c r="AV98" s="324">
        <f t="shared" si="12"/>
        <v>0</v>
      </c>
      <c r="AW98" s="324">
        <f t="shared" si="15"/>
        <v>0</v>
      </c>
      <c r="AX98" s="287">
        <f t="shared" si="16"/>
        <v>0</v>
      </c>
      <c r="AY98" s="325">
        <f t="shared" si="10"/>
        <v>0</v>
      </c>
      <c r="AZ98" s="287">
        <f t="shared" si="13"/>
        <v>0</v>
      </c>
      <c r="BA98" s="287"/>
    </row>
    <row r="99" spans="45:53" s="245" customFormat="1" ht="15" x14ac:dyDescent="0.25">
      <c r="AS99" s="287" t="str">
        <f t="shared" si="11"/>
        <v/>
      </c>
      <c r="AT99" s="324">
        <f t="shared" si="14"/>
        <v>0</v>
      </c>
      <c r="AU99" s="324"/>
      <c r="AV99" s="324">
        <f t="shared" si="12"/>
        <v>0</v>
      </c>
      <c r="AW99" s="324">
        <f t="shared" si="15"/>
        <v>0</v>
      </c>
      <c r="AX99" s="287">
        <f t="shared" si="16"/>
        <v>0</v>
      </c>
      <c r="AY99" s="325">
        <f t="shared" si="10"/>
        <v>0</v>
      </c>
      <c r="AZ99" s="287">
        <f t="shared" si="13"/>
        <v>0</v>
      </c>
      <c r="BA99" s="287"/>
    </row>
    <row r="100" spans="45:53" s="245" customFormat="1" ht="15" x14ac:dyDescent="0.25">
      <c r="AS100" s="287" t="str">
        <f t="shared" si="11"/>
        <v/>
      </c>
      <c r="AT100" s="324">
        <f t="shared" si="14"/>
        <v>0</v>
      </c>
      <c r="AU100" s="324"/>
      <c r="AV100" s="324">
        <f t="shared" si="12"/>
        <v>0</v>
      </c>
      <c r="AW100" s="324">
        <f t="shared" si="15"/>
        <v>0</v>
      </c>
      <c r="AX100" s="287">
        <f t="shared" si="16"/>
        <v>0</v>
      </c>
      <c r="AY100" s="325">
        <f t="shared" si="10"/>
        <v>0</v>
      </c>
      <c r="AZ100" s="287">
        <f t="shared" si="13"/>
        <v>0</v>
      </c>
      <c r="BA100" s="287"/>
    </row>
    <row r="101" spans="45:53" s="245" customFormat="1" ht="15" x14ac:dyDescent="0.25">
      <c r="AS101" s="287" t="str">
        <f t="shared" si="11"/>
        <v/>
      </c>
      <c r="AT101" s="324">
        <f t="shared" si="14"/>
        <v>0</v>
      </c>
      <c r="AU101" s="324"/>
      <c r="AV101" s="324">
        <f t="shared" si="12"/>
        <v>0</v>
      </c>
      <c r="AW101" s="324">
        <f t="shared" si="15"/>
        <v>0</v>
      </c>
      <c r="AX101" s="287">
        <f t="shared" si="16"/>
        <v>0</v>
      </c>
      <c r="AY101" s="325">
        <f t="shared" si="10"/>
        <v>0</v>
      </c>
      <c r="AZ101" s="287">
        <f t="shared" si="13"/>
        <v>0</v>
      </c>
      <c r="BA101" s="287"/>
    </row>
    <row r="102" spans="45:53" s="245" customFormat="1" ht="15" x14ac:dyDescent="0.25">
      <c r="AS102" s="287" t="str">
        <f t="shared" si="11"/>
        <v/>
      </c>
      <c r="AT102" s="324">
        <f t="shared" si="14"/>
        <v>0</v>
      </c>
      <c r="AU102" s="324"/>
      <c r="AV102" s="324">
        <f t="shared" si="12"/>
        <v>0</v>
      </c>
      <c r="AW102" s="324">
        <f t="shared" si="15"/>
        <v>0</v>
      </c>
      <c r="AX102" s="287">
        <f t="shared" si="16"/>
        <v>0</v>
      </c>
      <c r="AY102" s="325">
        <f t="shared" si="10"/>
        <v>0</v>
      </c>
      <c r="AZ102" s="287">
        <f t="shared" si="13"/>
        <v>0</v>
      </c>
      <c r="BA102" s="287"/>
    </row>
    <row r="103" spans="45:53" s="245" customFormat="1" ht="15" x14ac:dyDescent="0.25">
      <c r="AS103" s="287" t="str">
        <f t="shared" si="11"/>
        <v/>
      </c>
      <c r="AT103" s="324">
        <f t="shared" si="14"/>
        <v>0</v>
      </c>
      <c r="AU103" s="324"/>
      <c r="AV103" s="324">
        <f t="shared" si="12"/>
        <v>0</v>
      </c>
      <c r="AW103" s="324">
        <f t="shared" si="15"/>
        <v>0</v>
      </c>
      <c r="AX103" s="287">
        <f t="shared" si="16"/>
        <v>0</v>
      </c>
      <c r="AY103" s="325">
        <f t="shared" ref="AY103:AY114" si="17">LN(AX103+$J$37)-LN($J$37)</f>
        <v>0</v>
      </c>
      <c r="AZ103" s="287">
        <f t="shared" si="13"/>
        <v>0</v>
      </c>
      <c r="BA103" s="287"/>
    </row>
    <row r="104" spans="45:53" s="245" customFormat="1" ht="15" x14ac:dyDescent="0.25">
      <c r="AS104" s="287" t="str">
        <f t="shared" si="11"/>
        <v/>
      </c>
      <c r="AT104" s="324">
        <f t="shared" si="14"/>
        <v>0</v>
      </c>
      <c r="AU104" s="324"/>
      <c r="AV104" s="324">
        <f t="shared" si="12"/>
        <v>0</v>
      </c>
      <c r="AW104" s="324">
        <f t="shared" si="15"/>
        <v>0</v>
      </c>
      <c r="AX104" s="287">
        <f t="shared" si="16"/>
        <v>0</v>
      </c>
      <c r="AY104" s="325">
        <f t="shared" si="17"/>
        <v>0</v>
      </c>
      <c r="AZ104" s="287">
        <f t="shared" si="13"/>
        <v>0</v>
      </c>
      <c r="BA104" s="287"/>
    </row>
    <row r="105" spans="45:53" s="245" customFormat="1" ht="15" x14ac:dyDescent="0.25">
      <c r="AS105" s="287" t="str">
        <f t="shared" si="11"/>
        <v/>
      </c>
      <c r="AT105" s="324">
        <f t="shared" si="14"/>
        <v>0</v>
      </c>
      <c r="AU105" s="324"/>
      <c r="AV105" s="324">
        <f t="shared" si="12"/>
        <v>0</v>
      </c>
      <c r="AW105" s="324">
        <f t="shared" si="15"/>
        <v>0</v>
      </c>
      <c r="AX105" s="287">
        <f t="shared" si="16"/>
        <v>0</v>
      </c>
      <c r="AY105" s="325">
        <f t="shared" si="17"/>
        <v>0</v>
      </c>
      <c r="AZ105" s="287">
        <f t="shared" si="13"/>
        <v>0</v>
      </c>
      <c r="BA105" s="287"/>
    </row>
    <row r="106" spans="45:53" s="245" customFormat="1" ht="15" x14ac:dyDescent="0.25">
      <c r="AS106" s="287" t="str">
        <f t="shared" si="11"/>
        <v/>
      </c>
      <c r="AT106" s="324">
        <f t="shared" si="14"/>
        <v>0</v>
      </c>
      <c r="AU106" s="324"/>
      <c r="AV106" s="324">
        <f t="shared" si="12"/>
        <v>0</v>
      </c>
      <c r="AW106" s="324">
        <f t="shared" si="15"/>
        <v>0</v>
      </c>
      <c r="AX106" s="287">
        <f t="shared" si="16"/>
        <v>0</v>
      </c>
      <c r="AY106" s="325">
        <f t="shared" si="17"/>
        <v>0</v>
      </c>
      <c r="AZ106" s="287">
        <f t="shared" si="13"/>
        <v>0</v>
      </c>
      <c r="BA106" s="287"/>
    </row>
    <row r="107" spans="45:53" s="245" customFormat="1" ht="15" x14ac:dyDescent="0.25">
      <c r="AS107" s="287" t="str">
        <f t="shared" si="11"/>
        <v/>
      </c>
      <c r="AT107" s="324">
        <f t="shared" si="14"/>
        <v>0</v>
      </c>
      <c r="AU107" s="324"/>
      <c r="AV107" s="324">
        <f t="shared" si="12"/>
        <v>0</v>
      </c>
      <c r="AW107" s="324">
        <f t="shared" si="15"/>
        <v>0</v>
      </c>
      <c r="AX107" s="287">
        <f t="shared" si="16"/>
        <v>0</v>
      </c>
      <c r="AY107" s="325">
        <f t="shared" si="17"/>
        <v>0</v>
      </c>
      <c r="AZ107" s="287">
        <f t="shared" si="13"/>
        <v>0</v>
      </c>
      <c r="BA107" s="287"/>
    </row>
    <row r="108" spans="45:53" s="245" customFormat="1" ht="15" x14ac:dyDescent="0.25">
      <c r="AS108" s="287" t="str">
        <f t="shared" si="11"/>
        <v/>
      </c>
      <c r="AT108" s="324">
        <f t="shared" si="14"/>
        <v>0</v>
      </c>
      <c r="AU108" s="324"/>
      <c r="AV108" s="324">
        <f t="shared" si="12"/>
        <v>0</v>
      </c>
      <c r="AW108" s="324">
        <f t="shared" si="15"/>
        <v>0</v>
      </c>
      <c r="AX108" s="287">
        <f t="shared" si="16"/>
        <v>0</v>
      </c>
      <c r="AY108" s="325">
        <f t="shared" si="17"/>
        <v>0</v>
      </c>
      <c r="AZ108" s="287">
        <f t="shared" si="13"/>
        <v>0</v>
      </c>
      <c r="BA108" s="287"/>
    </row>
    <row r="109" spans="45:53" s="245" customFormat="1" ht="15" x14ac:dyDescent="0.25">
      <c r="AS109" s="287" t="str">
        <f t="shared" si="11"/>
        <v/>
      </c>
      <c r="AT109" s="324">
        <f t="shared" si="14"/>
        <v>0</v>
      </c>
      <c r="AU109" s="324"/>
      <c r="AV109" s="324">
        <f t="shared" si="12"/>
        <v>0</v>
      </c>
      <c r="AW109" s="324">
        <f t="shared" si="15"/>
        <v>0</v>
      </c>
      <c r="AX109" s="287">
        <f t="shared" si="16"/>
        <v>0</v>
      </c>
      <c r="AY109" s="325">
        <f t="shared" si="17"/>
        <v>0</v>
      </c>
      <c r="AZ109" s="287">
        <f t="shared" si="13"/>
        <v>0</v>
      </c>
      <c r="BA109" s="287"/>
    </row>
    <row r="110" spans="45:53" s="245" customFormat="1" ht="15" x14ac:dyDescent="0.25">
      <c r="AS110" s="287" t="str">
        <f t="shared" si="11"/>
        <v/>
      </c>
      <c r="AT110" s="324">
        <f t="shared" si="14"/>
        <v>0</v>
      </c>
      <c r="AU110" s="324"/>
      <c r="AV110" s="324">
        <f t="shared" si="12"/>
        <v>0</v>
      </c>
      <c r="AW110" s="324">
        <f t="shared" si="15"/>
        <v>0</v>
      </c>
      <c r="AX110" s="287">
        <f t="shared" si="16"/>
        <v>0</v>
      </c>
      <c r="AY110" s="325">
        <f t="shared" si="17"/>
        <v>0</v>
      </c>
      <c r="AZ110" s="287">
        <f t="shared" si="13"/>
        <v>0</v>
      </c>
      <c r="BA110" s="287"/>
    </row>
    <row r="111" spans="45:53" s="245" customFormat="1" ht="15" x14ac:dyDescent="0.25">
      <c r="AS111" s="287" t="str">
        <f t="shared" si="11"/>
        <v/>
      </c>
      <c r="AT111" s="324">
        <f t="shared" si="14"/>
        <v>0</v>
      </c>
      <c r="AU111" s="324"/>
      <c r="AV111" s="324">
        <f t="shared" si="12"/>
        <v>0</v>
      </c>
      <c r="AW111" s="324">
        <f t="shared" si="15"/>
        <v>0</v>
      </c>
      <c r="AX111" s="287">
        <f t="shared" si="16"/>
        <v>0</v>
      </c>
      <c r="AY111" s="325">
        <f t="shared" si="17"/>
        <v>0</v>
      </c>
      <c r="AZ111" s="287">
        <f t="shared" si="13"/>
        <v>0</v>
      </c>
      <c r="BA111" s="287"/>
    </row>
    <row r="112" spans="45:53" s="245" customFormat="1" ht="15" x14ac:dyDescent="0.25">
      <c r="AS112" s="287" t="str">
        <f t="shared" si="11"/>
        <v/>
      </c>
      <c r="AT112" s="324">
        <f t="shared" si="14"/>
        <v>0</v>
      </c>
      <c r="AU112" s="324"/>
      <c r="AV112" s="324">
        <f t="shared" si="12"/>
        <v>0</v>
      </c>
      <c r="AW112" s="324">
        <f t="shared" si="15"/>
        <v>0</v>
      </c>
      <c r="AX112" s="287">
        <f t="shared" si="16"/>
        <v>0</v>
      </c>
      <c r="AY112" s="325">
        <f t="shared" si="17"/>
        <v>0</v>
      </c>
      <c r="AZ112" s="287">
        <f t="shared" si="13"/>
        <v>0</v>
      </c>
      <c r="BA112" s="287"/>
    </row>
    <row r="113" spans="45:53" s="245" customFormat="1" ht="15" x14ac:dyDescent="0.25">
      <c r="AS113" s="287" t="str">
        <f t="shared" si="11"/>
        <v/>
      </c>
      <c r="AT113" s="324">
        <f t="shared" si="14"/>
        <v>0</v>
      </c>
      <c r="AU113" s="324"/>
      <c r="AV113" s="324">
        <f t="shared" si="12"/>
        <v>0</v>
      </c>
      <c r="AW113" s="324">
        <f t="shared" si="15"/>
        <v>0</v>
      </c>
      <c r="AX113" s="287">
        <f t="shared" si="16"/>
        <v>0</v>
      </c>
      <c r="AY113" s="325">
        <f t="shared" si="17"/>
        <v>0</v>
      </c>
      <c r="AZ113" s="287">
        <f t="shared" si="13"/>
        <v>0</v>
      </c>
      <c r="BA113" s="287"/>
    </row>
    <row r="114" spans="45:53" s="245" customFormat="1" ht="15" x14ac:dyDescent="0.25">
      <c r="AS114" s="287" t="str">
        <f t="shared" si="11"/>
        <v/>
      </c>
      <c r="AT114" s="324">
        <f t="shared" si="14"/>
        <v>0</v>
      </c>
      <c r="AU114" s="324"/>
      <c r="AV114" s="324">
        <f t="shared" si="12"/>
        <v>0</v>
      </c>
      <c r="AW114" s="324">
        <f t="shared" si="15"/>
        <v>0</v>
      </c>
      <c r="AX114" s="287">
        <f t="shared" si="16"/>
        <v>0</v>
      </c>
      <c r="AY114" s="325">
        <f t="shared" si="17"/>
        <v>0</v>
      </c>
      <c r="AZ114" s="287">
        <f t="shared" si="13"/>
        <v>0</v>
      </c>
      <c r="BA114" s="287"/>
    </row>
    <row r="115" spans="45:53" s="245" customFormat="1" ht="15" x14ac:dyDescent="0.25">
      <c r="BA115" s="287"/>
    </row>
    <row r="116" spans="45:53" s="245" customFormat="1" ht="15" x14ac:dyDescent="0.25">
      <c r="BA116" s="287"/>
    </row>
    <row r="117" spans="45:53" s="245" customFormat="1" ht="15" x14ac:dyDescent="0.25">
      <c r="BA117" s="287"/>
    </row>
    <row r="118" spans="45:53" s="245" customFormat="1" ht="15" x14ac:dyDescent="0.25">
      <c r="BA118" s="287"/>
    </row>
    <row r="119" spans="45:53" ht="15" x14ac:dyDescent="0.25">
      <c r="BA119" s="231"/>
    </row>
  </sheetData>
  <mergeCells count="68">
    <mergeCell ref="D38:G38"/>
    <mergeCell ref="R38:T38"/>
    <mergeCell ref="T15:U15"/>
    <mergeCell ref="T16:U16"/>
    <mergeCell ref="T17:U17"/>
    <mergeCell ref="T18:U18"/>
    <mergeCell ref="T19:U19"/>
    <mergeCell ref="B23:E26"/>
    <mergeCell ref="F31:F34"/>
    <mergeCell ref="R33:V33"/>
    <mergeCell ref="B36:B38"/>
    <mergeCell ref="D36:F36"/>
    <mergeCell ref="H36:I36"/>
    <mergeCell ref="J36:N36"/>
    <mergeCell ref="O36:P36"/>
    <mergeCell ref="D37:F37"/>
    <mergeCell ref="H37:I37"/>
    <mergeCell ref="Q13:Q14"/>
    <mergeCell ref="T13:U13"/>
    <mergeCell ref="D16:D17"/>
    <mergeCell ref="J37:N37"/>
    <mergeCell ref="O37:P37"/>
    <mergeCell ref="V13:W13"/>
    <mergeCell ref="T14:U14"/>
    <mergeCell ref="V14:W14"/>
    <mergeCell ref="F21:F24"/>
    <mergeCell ref="Q21:Q25"/>
    <mergeCell ref="R21:S22"/>
    <mergeCell ref="U21:W22"/>
    <mergeCell ref="F16:F17"/>
    <mergeCell ref="G16:G17"/>
    <mergeCell ref="L17:M17"/>
    <mergeCell ref="B14:B18"/>
    <mergeCell ref="C14:C15"/>
    <mergeCell ref="D14:D15"/>
    <mergeCell ref="F14:F15"/>
    <mergeCell ref="G14:G15"/>
    <mergeCell ref="C16:C17"/>
    <mergeCell ref="V10:W10"/>
    <mergeCell ref="Z10:AA10"/>
    <mergeCell ref="T12:U12"/>
    <mergeCell ref="V12:W12"/>
    <mergeCell ref="T11:U11"/>
    <mergeCell ref="V11:W11"/>
    <mergeCell ref="AE6:AE7"/>
    <mergeCell ref="B7:B11"/>
    <mergeCell ref="Q8:Q11"/>
    <mergeCell ref="T8:U8"/>
    <mergeCell ref="V8:W8"/>
    <mergeCell ref="C9:D9"/>
    <mergeCell ref="T9:U9"/>
    <mergeCell ref="V9:W9"/>
    <mergeCell ref="Z9:AA9"/>
    <mergeCell ref="T10:U10"/>
    <mergeCell ref="C6:D6"/>
    <mergeCell ref="I6:J6"/>
    <mergeCell ref="L6:M6"/>
    <mergeCell ref="T6:U6"/>
    <mergeCell ref="V6:W6"/>
    <mergeCell ref="AD6:AD7"/>
    <mergeCell ref="S2:T3"/>
    <mergeCell ref="Z2:AB3"/>
    <mergeCell ref="B4:D5"/>
    <mergeCell ref="F4:G5"/>
    <mergeCell ref="T4:U4"/>
    <mergeCell ref="V4:W4"/>
    <mergeCell ref="T5:U5"/>
    <mergeCell ref="V5:W5"/>
  </mergeCells>
  <dataValidations count="3">
    <dataValidation type="list" allowBlank="1" showInputMessage="1" sqref="K15">
      <formula1>$C$28:$G$28</formula1>
    </dataValidation>
    <dataValidation type="list" allowBlank="1" showInputMessage="1" sqref="K14">
      <formula1>$C$21:$G$21</formula1>
    </dataValidation>
    <dataValidation type="list" allowBlank="1" showInputMessage="1" sqref="K9">
      <formula1>$C$30:$G$30</formula1>
    </dataValidation>
  </dataValidations>
  <hyperlinks>
    <hyperlink ref="H38" r:id="rId1" location="Grantstructure"/>
    <hyperlink ref="W38" r:id="rId2"/>
  </hyperlinks>
  <pageMargins left="0.7" right="0.7" top="0.75" bottom="0.75" header="0.3" footer="0.3"/>
  <pageSetup orientation="portrait"/>
  <legacyDrawing r:id="rId3"/>
  <extLst>
    <ext xmlns:x14="http://schemas.microsoft.com/office/spreadsheetml/2009/9/main" uri="{CCE6A557-97BC-4b89-ADB6-D9C93CAAB3DF}">
      <x14:dataValidations xmlns:xm="http://schemas.microsoft.com/office/excel/2006/main" count="36">
        <x14:dataValidation type="list" allowBlank="1" showInputMessage="1">
          <x14:formula1>
            <xm:f>Parameters!$D$49:$H$49</xm:f>
          </x14:formula1>
          <xm:sqref>M18</xm:sqref>
        </x14:dataValidation>
        <x14:dataValidation type="list" allowBlank="1" showInputMessage="1">
          <x14:formula1>
            <xm:f>Parameters!$D$32:$H$32</xm:f>
          </x14:formula1>
          <xm:sqref>G11</xm:sqref>
        </x14:dataValidation>
        <x14:dataValidation type="list" allowBlank="1" showInputMessage="1">
          <x14:formula1>
            <xm:f>Parameters!$D$54:$H$54</xm:f>
          </x14:formula1>
          <xm:sqref>D10</xm:sqref>
        </x14:dataValidation>
        <x14:dataValidation type="list" allowBlank="1" showInputMessage="1">
          <x14:formula1>
            <xm:f>Parameters!$D$56:$H$56</xm:f>
          </x14:formula1>
          <xm:sqref>D14</xm:sqref>
        </x14:dataValidation>
        <x14:dataValidation type="list" allowBlank="1" showInputMessage="1">
          <x14:formula1>
            <xm:f>Parameters!$D$9:$H$9</xm:f>
          </x14:formula1>
          <xm:sqref>G14</xm:sqref>
        </x14:dataValidation>
        <x14:dataValidation type="list" allowBlank="1" showInputMessage="1">
          <x14:formula1>
            <xm:f>Parameters!$D$26:$H$26</xm:f>
          </x14:formula1>
          <xm:sqref>G16</xm:sqref>
        </x14:dataValidation>
        <x14:dataValidation type="list" allowBlank="1" showInputMessage="1">
          <x14:formula1>
            <xm:f>Parameters!$D$20:$H$20</xm:f>
          </x14:formula1>
          <xm:sqref>J14</xm:sqref>
        </x14:dataValidation>
        <x14:dataValidation type="list" allowBlank="1" showInputMessage="1">
          <x14:formula1>
            <xm:f>Parameters!$D$22:$H$22</xm:f>
          </x14:formula1>
          <xm:sqref>J11</xm:sqref>
        </x14:dataValidation>
        <x14:dataValidation type="list" allowBlank="1" showInputMessage="1">
          <x14:formula1>
            <xm:f>Parameters!$D$42:$H$42</xm:f>
          </x14:formula1>
          <xm:sqref>M15</xm:sqref>
        </x14:dataValidation>
        <x14:dataValidation type="list" allowBlank="1" showInputMessage="1">
          <x14:formula1>
            <xm:f>Parameters!$D$41:$H$41</xm:f>
          </x14:formula1>
          <xm:sqref>M14</xm:sqref>
        </x14:dataValidation>
        <x14:dataValidation type="list" allowBlank="1" showInputMessage="1">
          <x14:formula1>
            <xm:f>Parameters!$D$40:$H$40</xm:f>
          </x14:formula1>
          <xm:sqref>M13</xm:sqref>
        </x14:dataValidation>
        <x14:dataValidation type="list" allowBlank="1" showInputMessage="1">
          <x14:formula1>
            <xm:f>Parameters!$D$39:$H$39</xm:f>
          </x14:formula1>
          <xm:sqref>M11</xm:sqref>
        </x14:dataValidation>
        <x14:dataValidation type="list" allowBlank="1" showInputMessage="1">
          <x14:formula1>
            <xm:f>Parameters!$D$37:$H$37</xm:f>
          </x14:formula1>
          <xm:sqref>M9</xm:sqref>
        </x14:dataValidation>
        <x14:dataValidation type="list" allowBlank="1" showInputMessage="1">
          <x14:formula1>
            <xm:f>Parameters!$D$36:$H$36</xm:f>
          </x14:formula1>
          <xm:sqref>M8</xm:sqref>
        </x14:dataValidation>
        <x14:dataValidation type="list" allowBlank="1" showInputMessage="1">
          <x14:formula1>
            <xm:f>Parameters!$D$14:$H$14</xm:f>
          </x14:formula1>
          <xm:sqref>J8</xm:sqref>
        </x14:dataValidation>
        <x14:dataValidation type="list" allowBlank="1" showInputMessage="1">
          <x14:formula1>
            <xm:f>Parameters!$E$14:$I$14</xm:f>
          </x14:formula1>
          <xm:sqref>K10</xm:sqref>
        </x14:dataValidation>
        <x14:dataValidation type="list" allowBlank="1" showInputMessage="1">
          <x14:formula1>
            <xm:f>Parameters!$D$21:$H$21</xm:f>
          </x14:formula1>
          <xm:sqref>J7</xm:sqref>
        </x14:dataValidation>
        <x14:dataValidation type="list" allowBlank="1" showInputMessage="1">
          <x14:formula1>
            <xm:f>Parameters!$E$21:$G$21</xm:f>
          </x14:formula1>
          <xm:sqref>K7</xm:sqref>
        </x14:dataValidation>
        <x14:dataValidation type="list" allowBlank="1" showInputMessage="1">
          <x14:formula1>
            <xm:f>Parameters!$D$16:$H$16</xm:f>
          </x14:formula1>
          <xm:sqref>J10</xm:sqref>
        </x14:dataValidation>
        <x14:dataValidation type="list" allowBlank="1" showInputMessage="1">
          <x14:formula1>
            <xm:f>Parameters!$D$19:$H$19</xm:f>
          </x14:formula1>
          <xm:sqref>J16:K16</xm:sqref>
        </x14:dataValidation>
        <x14:dataValidation type="list" allowBlank="1" showInputMessage="1">
          <x14:formula1>
            <xm:f>Parameters!$D$15:$H$15</xm:f>
          </x14:formula1>
          <xm:sqref>J18:K18</xm:sqref>
        </x14:dataValidation>
        <x14:dataValidation type="list" allowBlank="1" showInputMessage="1">
          <x14:formula1>
            <xm:f>Parameters!$D$12:$H$12</xm:f>
          </x14:formula1>
          <xm:sqref>J17:K17</xm:sqref>
        </x14:dataValidation>
        <x14:dataValidation type="list" allowBlank="1" showInputMessage="1">
          <x14:formula1>
            <xm:f>Parameters!$D$4:$H$4</xm:f>
          </x14:formula1>
          <xm:sqref>D7</xm:sqref>
        </x14:dataValidation>
        <x14:dataValidation type="list" allowBlank="1" showInputMessage="1">
          <x14:formula1>
            <xm:f>Parameters!$D$31:$H$31</xm:f>
          </x14:formula1>
          <xm:sqref>G18</xm:sqref>
        </x14:dataValidation>
        <x14:dataValidation type="list" allowBlank="1" showInputMessage="1">
          <x14:formula1>
            <xm:f>Parameters!$D$7:$H$7</xm:f>
          </x14:formula1>
          <xm:sqref>G8</xm:sqref>
        </x14:dataValidation>
        <x14:dataValidation type="list" allowBlank="1" showInputMessage="1">
          <x14:formula1>
            <xm:f>Parameters!$D$8:$H$8</xm:f>
          </x14:formula1>
          <xm:sqref>G10</xm:sqref>
        </x14:dataValidation>
        <x14:dataValidation type="list" allowBlank="1" showInputMessage="1">
          <x14:formula1>
            <xm:f>Parameters!#REF!</xm:f>
          </x14:formula1>
          <xm:sqref>G13</xm:sqref>
        </x14:dataValidation>
        <x14:dataValidation type="list" allowBlank="1" showInputMessage="1">
          <x14:formula1>
            <xm:f>Parameters!$E$23:$H$23</xm:f>
          </x14:formula1>
          <xm:sqref>J9</xm:sqref>
        </x14:dataValidation>
        <x14:dataValidation type="list" allowBlank="1" showInputMessage="1">
          <x14:formula1>
            <xm:f>Parameters!$D$5:$G$5</xm:f>
          </x14:formula1>
          <xm:sqref>G7</xm:sqref>
        </x14:dataValidation>
        <x14:dataValidation type="list" allowBlank="1" showInputMessage="1">
          <x14:formula1>
            <xm:f>Parameters!$D$58:$H$58</xm:f>
          </x14:formula1>
          <xm:sqref>D16:D17</xm:sqref>
        </x14:dataValidation>
        <x14:dataValidation type="list" allowBlank="1" showInputMessage="1">
          <x14:formula1>
            <xm:f>Parameters!$D$55:$F$55</xm:f>
          </x14:formula1>
          <xm:sqref>D11</xm:sqref>
        </x14:dataValidation>
        <x14:dataValidation type="list" allowBlank="1" showInputMessage="1">
          <x14:formula1>
            <xm:f>Parameters!$D$6:$H$6</xm:f>
          </x14:formula1>
          <xm:sqref>G9</xm:sqref>
        </x14:dataValidation>
        <x14:dataValidation type="list" allowBlank="1" showInputMessage="1">
          <x14:formula1>
            <xm:f>Parameters!$D$13:$H$13</xm:f>
          </x14:formula1>
          <xm:sqref>J15</xm:sqref>
        </x14:dataValidation>
        <x14:dataValidation type="list" allowBlank="1" showInputMessage="1">
          <x14:formula1>
            <xm:f>Parameters!#REF!</xm:f>
          </x14:formula1>
          <xm:sqref>M12</xm:sqref>
        </x14:dataValidation>
        <x14:dataValidation type="list" allowBlank="1" showInputMessage="1">
          <x14:formula1>
            <xm:f>Parameters!$D$38:$H$38</xm:f>
          </x14:formula1>
          <xm:sqref>M10</xm:sqref>
        </x14:dataValidation>
        <x14:dataValidation type="list" allowBlank="1" showInputMessage="1">
          <x14:formula1>
            <xm:f>Parameters!$E$35:$H$35</xm:f>
          </x14:formula1>
          <xm:sqref>M7</xm:sqref>
        </x14:dataValidation>
      </x14:dataValidation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8"/>
  <sheetViews>
    <sheetView topLeftCell="A4" workbookViewId="0">
      <selection activeCell="M10" sqref="M10"/>
    </sheetView>
  </sheetViews>
  <sheetFormatPr defaultColWidth="8.85546875" defaultRowHeight="11.25" x14ac:dyDescent="0.2"/>
  <cols>
    <col min="1" max="1" width="1.42578125" style="1" customWidth="1"/>
    <col min="2" max="2" width="9.42578125" style="1" customWidth="1"/>
    <col min="3" max="3" width="14.42578125" style="1" customWidth="1"/>
    <col min="4" max="4" width="5.85546875" style="1" customWidth="1"/>
    <col min="5" max="5" width="1.85546875" style="1" customWidth="1"/>
    <col min="6" max="6" width="18" style="1" customWidth="1"/>
    <col min="7" max="7" width="13.42578125" style="1" customWidth="1"/>
    <col min="8" max="8" width="1.42578125" style="1" customWidth="1"/>
    <col min="9" max="9" width="16.42578125" style="1" customWidth="1"/>
    <col min="10" max="10" width="8.42578125" style="1" customWidth="1"/>
    <col min="11" max="11" width="1.42578125" style="1" customWidth="1"/>
    <col min="12" max="12" width="22.85546875" style="1" customWidth="1"/>
    <col min="13" max="13" width="8.42578125" style="1" customWidth="1"/>
    <col min="14" max="14" width="0.85546875" style="1" customWidth="1"/>
    <col min="15" max="15" width="2.85546875" style="1" customWidth="1"/>
    <col min="16" max="16" width="2.42578125" style="1" customWidth="1"/>
    <col min="17" max="17" width="15.42578125" style="1" customWidth="1"/>
    <col min="18" max="18" width="30.85546875" style="1" customWidth="1"/>
    <col min="19" max="19" width="23.42578125" style="1" customWidth="1"/>
    <col min="20" max="20" width="1" style="1" customWidth="1"/>
    <col min="21" max="21" width="24.42578125" style="1" customWidth="1"/>
    <col min="22" max="22" width="10.42578125" style="1" customWidth="1"/>
    <col min="23" max="23" width="12.42578125" style="1" customWidth="1"/>
    <col min="24" max="24" width="13.42578125" style="1" customWidth="1"/>
    <col min="25" max="25" width="12.85546875" style="1" customWidth="1"/>
    <col min="26" max="16384" width="8.85546875" style="1"/>
  </cols>
  <sheetData>
    <row r="1" spans="1:53" ht="6" customHeight="1" thickBot="1" x14ac:dyDescent="0.4">
      <c r="A1" s="50"/>
      <c r="B1" s="14"/>
      <c r="C1" s="14"/>
      <c r="D1" s="14"/>
      <c r="E1" s="14"/>
      <c r="F1" s="14"/>
      <c r="G1" s="14"/>
      <c r="H1" s="14"/>
      <c r="I1" s="14"/>
      <c r="J1" s="14"/>
      <c r="K1" s="14"/>
      <c r="L1" s="14"/>
      <c r="M1" s="14"/>
      <c r="N1" s="14"/>
      <c r="O1" s="14"/>
      <c r="P1" s="14"/>
      <c r="Q1" s="14"/>
      <c r="R1" s="24"/>
      <c r="S1" s="14"/>
      <c r="T1" s="14"/>
      <c r="U1" s="14"/>
      <c r="V1" s="14"/>
      <c r="W1" s="14"/>
      <c r="X1" s="14"/>
      <c r="Y1" s="14"/>
      <c r="Z1" s="14"/>
      <c r="AA1" s="14"/>
      <c r="AB1" s="14"/>
      <c r="AC1" s="14"/>
      <c r="AD1" s="14"/>
      <c r="AE1" s="14"/>
      <c r="AF1" s="14"/>
      <c r="AG1" s="14"/>
      <c r="AH1" s="14"/>
      <c r="AI1" s="14"/>
      <c r="AJ1" s="14"/>
      <c r="AK1" s="14"/>
      <c r="AL1" s="14"/>
      <c r="AM1" s="14"/>
      <c r="AN1" s="14"/>
      <c r="AO1" s="14"/>
      <c r="AP1" s="14"/>
    </row>
    <row r="2" spans="1:53" ht="10.5" customHeight="1" x14ac:dyDescent="0.3">
      <c r="A2" s="14"/>
      <c r="B2" s="14"/>
      <c r="C2" s="160"/>
      <c r="D2" s="17"/>
      <c r="E2" s="17"/>
      <c r="F2" s="17"/>
      <c r="G2" s="17"/>
      <c r="H2" s="17"/>
      <c r="I2" s="17"/>
      <c r="J2" s="50"/>
      <c r="K2" s="50"/>
      <c r="L2" s="50"/>
      <c r="M2" s="50"/>
      <c r="N2" s="14"/>
      <c r="O2" s="14"/>
      <c r="P2" s="14"/>
      <c r="Q2" s="14"/>
      <c r="S2" s="780" t="s">
        <v>187</v>
      </c>
      <c r="T2" s="781"/>
      <c r="U2" s="150"/>
      <c r="V2" s="150"/>
      <c r="W2" s="150"/>
      <c r="X2" s="14"/>
      <c r="Y2" s="14"/>
      <c r="Z2" s="14"/>
      <c r="AA2" s="14"/>
      <c r="AB2" s="14"/>
      <c r="AC2" s="14"/>
      <c r="AD2" s="14"/>
      <c r="AE2" s="14"/>
      <c r="AF2" s="14"/>
      <c r="AG2" s="14"/>
      <c r="AH2" s="14"/>
      <c r="AI2" s="14"/>
      <c r="AJ2" s="14"/>
      <c r="AK2" s="14"/>
      <c r="AL2" s="14"/>
      <c r="AM2" s="14"/>
      <c r="AN2" s="14"/>
      <c r="AO2" s="14"/>
      <c r="AP2" s="14"/>
      <c r="AR2" t="s">
        <v>115</v>
      </c>
      <c r="AS2" t="s">
        <v>116</v>
      </c>
      <c r="AT2" t="s">
        <v>117</v>
      </c>
      <c r="AU2" t="s">
        <v>118</v>
      </c>
      <c r="AV2" t="s">
        <v>119</v>
      </c>
      <c r="AW2" t="s">
        <v>120</v>
      </c>
      <c r="AX2" t="s">
        <v>121</v>
      </c>
      <c r="AY2" t="s">
        <v>139</v>
      </c>
      <c r="AZ2" t="s">
        <v>123</v>
      </c>
    </row>
    <row r="3" spans="1:53" ht="10.5" customHeight="1" thickBot="1" x14ac:dyDescent="0.35">
      <c r="A3" s="14"/>
      <c r="B3" s="160"/>
      <c r="C3" s="160"/>
      <c r="D3" s="17"/>
      <c r="E3" s="17"/>
      <c r="F3" s="17"/>
      <c r="G3" s="17"/>
      <c r="H3" s="17"/>
      <c r="I3" s="17"/>
      <c r="J3" s="50"/>
      <c r="K3" s="50"/>
      <c r="L3" s="50"/>
      <c r="M3" s="50"/>
      <c r="N3" s="14"/>
      <c r="O3" s="14"/>
      <c r="P3" s="14"/>
      <c r="Q3" s="14"/>
      <c r="R3" s="150"/>
      <c r="S3" s="782"/>
      <c r="T3" s="783"/>
      <c r="U3" s="150"/>
      <c r="V3" s="150"/>
      <c r="W3" s="150"/>
      <c r="X3" s="14"/>
      <c r="Y3" s="14"/>
      <c r="Z3" s="14"/>
      <c r="AA3" s="14"/>
      <c r="AB3" s="14"/>
      <c r="AC3" s="14"/>
      <c r="AD3" s="14"/>
      <c r="AE3" s="14"/>
      <c r="AF3" s="14"/>
      <c r="AG3" s="14"/>
      <c r="AH3" s="14"/>
      <c r="AI3" s="14"/>
      <c r="AJ3" s="14"/>
      <c r="AK3" s="14"/>
      <c r="AL3" s="14"/>
      <c r="AM3" s="14"/>
      <c r="AN3" s="14"/>
      <c r="AO3" s="14"/>
      <c r="AP3" s="14"/>
      <c r="AR3"/>
      <c r="AS3"/>
      <c r="AT3"/>
      <c r="AU3"/>
      <c r="AV3"/>
      <c r="AW3"/>
      <c r="AX3"/>
      <c r="AY3"/>
      <c r="AZ3"/>
    </row>
    <row r="4" spans="1:53" ht="40.700000000000003" customHeight="1" x14ac:dyDescent="0.25">
      <c r="A4" s="14"/>
      <c r="B4" s="790" t="s">
        <v>213</v>
      </c>
      <c r="C4" s="790"/>
      <c r="D4" s="790"/>
      <c r="E4" s="162"/>
      <c r="F4" s="792" t="s">
        <v>186</v>
      </c>
      <c r="G4" s="793"/>
      <c r="H4" s="17"/>
      <c r="I4" s="14"/>
      <c r="J4" s="14"/>
      <c r="K4" s="14"/>
      <c r="L4" s="14"/>
      <c r="M4" s="14"/>
      <c r="N4" s="67"/>
      <c r="O4" s="67"/>
      <c r="P4" s="67"/>
      <c r="Q4" s="148"/>
      <c r="R4" s="199" t="s">
        <v>171</v>
      </c>
      <c r="S4" s="199" t="s">
        <v>30</v>
      </c>
      <c r="T4" s="796" t="s">
        <v>172</v>
      </c>
      <c r="U4" s="796"/>
      <c r="V4" s="796" t="s">
        <v>173</v>
      </c>
      <c r="W4" s="797"/>
      <c r="X4" s="14"/>
      <c r="Y4" s="14"/>
      <c r="Z4" s="14"/>
      <c r="AA4" s="14"/>
      <c r="AB4" s="14"/>
      <c r="AC4" s="14"/>
      <c r="AD4" s="14"/>
      <c r="AE4" s="14"/>
      <c r="AF4" s="14"/>
      <c r="AG4" s="14"/>
      <c r="AH4" s="14"/>
      <c r="AI4" s="14"/>
      <c r="AJ4" s="14"/>
      <c r="AK4" s="14"/>
      <c r="AL4" s="14"/>
      <c r="AM4" s="14"/>
      <c r="AN4" s="14"/>
      <c r="AO4" s="14"/>
      <c r="AP4" s="14"/>
      <c r="AR4">
        <v>0</v>
      </c>
      <c r="AS4" s="70">
        <f>Q36</f>
        <v>288</v>
      </c>
      <c r="AT4" s="70">
        <f>(1-$D$11)*AS4</f>
        <v>288</v>
      </c>
      <c r="AU4" s="70"/>
      <c r="AV4"/>
      <c r="AW4">
        <f>IF(ISNUMBER(AR5),SUM(AT4:AU4),SUM(AT4:AV4))</f>
        <v>288</v>
      </c>
      <c r="AX4" s="71">
        <f t="shared" ref="AX4:AX30" si="0">LN(AW4+$J$36)-LN($J$36)</f>
        <v>0.69677796237285428</v>
      </c>
      <c r="AY4">
        <f>IF(ISNUMBER(AR4),AX4/(1+$D$7)^AR4,0)</f>
        <v>0.69677796237285428</v>
      </c>
      <c r="AZ4"/>
    </row>
    <row r="5" spans="1:53" ht="10.7" customHeight="1" thickBot="1" x14ac:dyDescent="0.3">
      <c r="A5" s="14"/>
      <c r="B5" s="791"/>
      <c r="C5" s="791"/>
      <c r="D5" s="791"/>
      <c r="E5" s="161"/>
      <c r="F5" s="794"/>
      <c r="G5" s="795"/>
      <c r="H5" s="26"/>
      <c r="I5" s="26"/>
      <c r="J5" s="14"/>
      <c r="K5" s="14"/>
      <c r="L5" s="14"/>
      <c r="M5" s="14"/>
      <c r="N5" s="14"/>
      <c r="O5" s="14"/>
      <c r="P5" s="14"/>
      <c r="Q5" s="200" t="s">
        <v>189</v>
      </c>
      <c r="R5" s="203">
        <f>D36/(1+D7)^10</f>
        <v>0.253</v>
      </c>
      <c r="S5" s="203" t="e">
        <f>R5*(1-1/(1+D7)^G16)/(1-1/(1+D7))</f>
        <v>#DIV/0!</v>
      </c>
      <c r="T5" s="799" t="e">
        <f>S5*G7*G9*G18*G8/G36</f>
        <v>#DIV/0!</v>
      </c>
      <c r="U5" s="799"/>
      <c r="V5" s="799">
        <f>G14*G11</f>
        <v>0</v>
      </c>
      <c r="W5" s="811"/>
      <c r="X5" s="14"/>
      <c r="Y5" s="14"/>
      <c r="Z5" s="14"/>
      <c r="AA5" s="14"/>
      <c r="AB5" s="14"/>
      <c r="AC5" s="14"/>
      <c r="AD5" s="14"/>
      <c r="AE5" s="14"/>
      <c r="AF5" s="14"/>
      <c r="AG5" s="14"/>
      <c r="AH5" s="14"/>
      <c r="AI5" s="14"/>
      <c r="AJ5" s="14"/>
      <c r="AK5" s="14"/>
      <c r="AL5" s="14"/>
      <c r="AM5" s="14"/>
      <c r="AN5" s="14"/>
      <c r="AO5" s="14"/>
      <c r="AP5" s="14"/>
      <c r="AR5" t="str">
        <f t="shared" ref="AR5:AR68" si="1">IF(AR4&lt;$D$14,AR4+1,"")</f>
        <v/>
      </c>
      <c r="AS5" s="70">
        <f>AS4-AT4</f>
        <v>0</v>
      </c>
      <c r="AT5" s="70"/>
      <c r="AU5" s="70">
        <f t="shared" ref="AU5:AU70" si="2">$D$10*AS5</f>
        <v>0</v>
      </c>
      <c r="AV5" s="70">
        <f>AS5</f>
        <v>0</v>
      </c>
      <c r="AW5">
        <f t="shared" ref="AW5:AW14" si="3">IF(ISNUMBER(AR6),SUM(AT5:AU5),SUM(AT5:AV5))</f>
        <v>0</v>
      </c>
      <c r="AX5" s="71">
        <f t="shared" si="0"/>
        <v>0</v>
      </c>
      <c r="AY5">
        <f t="shared" ref="AY5:AY70" si="4">IF(ISNUMBER(AR5),AX5/(1+$D$7)^AR5,0)</f>
        <v>0</v>
      </c>
      <c r="AZ5">
        <f>SUM(AY5:AY113)</f>
        <v>0</v>
      </c>
      <c r="BA5" s="1">
        <f>SUM(AY5:AY23)</f>
        <v>0</v>
      </c>
    </row>
    <row r="6" spans="1:53" ht="15" x14ac:dyDescent="0.25">
      <c r="A6" s="14"/>
      <c r="B6" s="10"/>
      <c r="C6" s="809" t="s">
        <v>12</v>
      </c>
      <c r="D6" s="809"/>
      <c r="E6" s="45"/>
      <c r="F6" s="22" t="s">
        <v>13</v>
      </c>
      <c r="G6" s="23"/>
      <c r="H6" s="46"/>
      <c r="I6" s="809" t="s">
        <v>39</v>
      </c>
      <c r="J6" s="809"/>
      <c r="K6" s="126"/>
      <c r="L6" s="810" t="s">
        <v>168</v>
      </c>
      <c r="M6" s="810"/>
      <c r="N6" s="11"/>
      <c r="O6" s="6"/>
      <c r="P6" s="14"/>
      <c r="Q6" s="200" t="s">
        <v>190</v>
      </c>
      <c r="R6" s="203">
        <f>(M15*M11)/(1+D7)^10</f>
        <v>0</v>
      </c>
      <c r="S6" s="203" t="e">
        <f>R6*(1-1/(1+D7)^G16)/(1-1/(1+D7))</f>
        <v>#DIV/0!</v>
      </c>
      <c r="T6" s="799" t="e">
        <f>S6*M8*M9*M14*(W36/V36)</f>
        <v>#DIV/0!</v>
      </c>
      <c r="U6" s="799"/>
      <c r="V6" s="799">
        <v>0</v>
      </c>
      <c r="W6" s="811"/>
      <c r="X6" s="14"/>
      <c r="Y6" s="14"/>
      <c r="Z6" s="14"/>
      <c r="AA6" s="14"/>
      <c r="AB6" s="14"/>
      <c r="AC6" s="14"/>
      <c r="AD6" s="14"/>
      <c r="AE6" s="14"/>
      <c r="AF6" s="14"/>
      <c r="AG6" s="14"/>
      <c r="AH6" s="14"/>
      <c r="AI6" s="14"/>
      <c r="AJ6" s="14"/>
      <c r="AK6" s="14"/>
      <c r="AL6" s="14"/>
      <c r="AM6" s="14"/>
      <c r="AN6" s="14"/>
      <c r="AO6" s="14"/>
      <c r="AP6" s="14"/>
      <c r="AR6" t="str">
        <f t="shared" si="1"/>
        <v/>
      </c>
      <c r="AS6" s="70">
        <f t="shared" ref="AS6:AS71" si="5">IF(ISNUMBER(AR6),AV5,0)</f>
        <v>0</v>
      </c>
      <c r="AT6" s="70"/>
      <c r="AU6" s="70">
        <f t="shared" si="2"/>
        <v>0</v>
      </c>
      <c r="AV6" s="70">
        <f t="shared" ref="AV6:AV71" si="6">AS6</f>
        <v>0</v>
      </c>
      <c r="AW6">
        <f t="shared" si="3"/>
        <v>0</v>
      </c>
      <c r="AX6" s="71">
        <f t="shared" si="0"/>
        <v>0</v>
      </c>
      <c r="AY6">
        <f t="shared" si="4"/>
        <v>0</v>
      </c>
      <c r="AZ6"/>
    </row>
    <row r="7" spans="1:53" ht="20.45" customHeight="1" x14ac:dyDescent="0.25">
      <c r="A7" s="14"/>
      <c r="B7" s="801" t="s">
        <v>45</v>
      </c>
      <c r="C7" s="111" t="s">
        <v>0</v>
      </c>
      <c r="D7" s="139">
        <f>'2015 Model'!D7</f>
        <v>0</v>
      </c>
      <c r="E7" s="2"/>
      <c r="F7" s="134" t="s">
        <v>4</v>
      </c>
      <c r="G7" s="135">
        <f>'2015 Model'!G7</f>
        <v>0</v>
      </c>
      <c r="H7" s="4"/>
      <c r="I7" s="134" t="s">
        <v>8</v>
      </c>
      <c r="J7" s="135">
        <f>'2015 Model'!J7</f>
        <v>0</v>
      </c>
      <c r="K7" s="127"/>
      <c r="L7" s="134" t="s">
        <v>175</v>
      </c>
      <c r="M7" s="140">
        <f>'2015 Model'!M7</f>
        <v>0</v>
      </c>
      <c r="N7" s="12"/>
      <c r="O7" s="6"/>
      <c r="P7" s="14"/>
      <c r="Q7" s="15"/>
      <c r="R7" s="6"/>
      <c r="S7" s="6"/>
      <c r="T7" s="6"/>
      <c r="U7" s="131"/>
      <c r="V7" s="6"/>
      <c r="W7" s="12"/>
      <c r="X7" s="14"/>
      <c r="Y7" s="14"/>
      <c r="Z7" s="14"/>
      <c r="AA7" s="14"/>
      <c r="AB7" s="14"/>
      <c r="AC7" s="14"/>
      <c r="AD7" s="14"/>
      <c r="AE7" s="14"/>
      <c r="AF7" s="14"/>
      <c r="AG7" s="14"/>
      <c r="AH7" s="14"/>
      <c r="AI7" s="14"/>
      <c r="AJ7" s="14"/>
      <c r="AK7" s="14"/>
      <c r="AL7" s="14"/>
      <c r="AM7" s="14"/>
      <c r="AN7" s="14"/>
      <c r="AO7" s="14"/>
      <c r="AP7" s="14"/>
      <c r="AR7" t="str">
        <f t="shared" si="1"/>
        <v/>
      </c>
      <c r="AS7" s="70">
        <f>IF(ISNUMBER(AR7),AV6,0)</f>
        <v>0</v>
      </c>
      <c r="AT7" s="70"/>
      <c r="AU7" s="70">
        <f t="shared" si="2"/>
        <v>0</v>
      </c>
      <c r="AV7" s="70">
        <f t="shared" si="6"/>
        <v>0</v>
      </c>
      <c r="AW7">
        <f t="shared" si="3"/>
        <v>0</v>
      </c>
      <c r="AX7" s="71">
        <f t="shared" si="0"/>
        <v>0</v>
      </c>
      <c r="AY7">
        <f t="shared" si="4"/>
        <v>0</v>
      </c>
      <c r="AZ7"/>
    </row>
    <row r="8" spans="1:53" ht="20.45" customHeight="1" x14ac:dyDescent="0.25">
      <c r="A8" s="14"/>
      <c r="B8" s="801"/>
      <c r="C8" s="100"/>
      <c r="D8" s="100"/>
      <c r="E8" s="47"/>
      <c r="F8" s="138" t="s">
        <v>6</v>
      </c>
      <c r="G8" s="13">
        <f>'2015 Model'!G8</f>
        <v>0</v>
      </c>
      <c r="H8" s="5"/>
      <c r="I8" s="122" t="s">
        <v>9</v>
      </c>
      <c r="J8" s="123">
        <f>'2015 Model'!J8</f>
        <v>0</v>
      </c>
      <c r="K8" s="128"/>
      <c r="L8" s="122" t="s">
        <v>169</v>
      </c>
      <c r="M8" s="123">
        <f>'2015 Model'!M8</f>
        <v>0</v>
      </c>
      <c r="N8" s="12"/>
      <c r="O8" s="6"/>
      <c r="P8" s="14"/>
      <c r="Q8" s="802" t="s">
        <v>191</v>
      </c>
      <c r="R8" s="6"/>
      <c r="S8" s="201" t="s">
        <v>31</v>
      </c>
      <c r="T8" s="803" t="s">
        <v>34</v>
      </c>
      <c r="U8" s="803"/>
      <c r="V8" s="211"/>
      <c r="W8" s="12"/>
      <c r="X8" s="14"/>
      <c r="Y8" s="14"/>
      <c r="Z8" s="14"/>
      <c r="AA8" s="14"/>
      <c r="AB8" s="14"/>
      <c r="AC8" s="14"/>
      <c r="AD8" s="14"/>
      <c r="AE8" s="14"/>
      <c r="AF8" s="14"/>
      <c r="AG8" s="14"/>
      <c r="AH8" s="14"/>
      <c r="AI8" s="14"/>
      <c r="AJ8" s="14"/>
      <c r="AK8" s="14"/>
      <c r="AL8" s="14"/>
      <c r="AM8" s="14"/>
      <c r="AN8" s="14"/>
      <c r="AO8" s="14"/>
      <c r="AP8" s="14"/>
      <c r="AR8" t="str">
        <f t="shared" si="1"/>
        <v/>
      </c>
      <c r="AS8" s="70">
        <f t="shared" si="5"/>
        <v>0</v>
      </c>
      <c r="AT8" s="70"/>
      <c r="AU8" s="70">
        <f t="shared" si="2"/>
        <v>0</v>
      </c>
      <c r="AV8" s="70">
        <f t="shared" si="6"/>
        <v>0</v>
      </c>
      <c r="AW8">
        <f t="shared" si="3"/>
        <v>0</v>
      </c>
      <c r="AX8" s="71">
        <f t="shared" si="0"/>
        <v>0</v>
      </c>
      <c r="AY8">
        <f t="shared" si="4"/>
        <v>0</v>
      </c>
      <c r="AZ8"/>
    </row>
    <row r="9" spans="1:53" ht="33.75" x14ac:dyDescent="0.25">
      <c r="A9" s="14"/>
      <c r="B9" s="801"/>
      <c r="C9" s="805" t="s">
        <v>14</v>
      </c>
      <c r="D9" s="805"/>
      <c r="E9" s="2"/>
      <c r="F9" s="122" t="s">
        <v>146</v>
      </c>
      <c r="G9" s="123">
        <f>'2015 Model'!G9</f>
        <v>0</v>
      </c>
      <c r="H9" s="5"/>
      <c r="I9" s="122" t="s">
        <v>164</v>
      </c>
      <c r="J9" s="123">
        <f>'2015 Model'!J9</f>
        <v>0</v>
      </c>
      <c r="K9" s="128"/>
      <c r="L9" s="122" t="s">
        <v>170</v>
      </c>
      <c r="M9" s="123">
        <f>'2015 Model'!M9</f>
        <v>0</v>
      </c>
      <c r="N9" s="12"/>
      <c r="O9" s="6"/>
      <c r="P9" s="14"/>
      <c r="Q9" s="802"/>
      <c r="R9" s="21" t="s">
        <v>44</v>
      </c>
      <c r="S9" s="98" t="e">
        <f>($V$5+$T$5*J14)*J7*J11</f>
        <v>#DIV/0!</v>
      </c>
      <c r="T9" s="934" t="e">
        <f>J12*S9/(J16/J9)</f>
        <v>#DIV/0!</v>
      </c>
      <c r="U9" s="806"/>
      <c r="V9" s="76"/>
      <c r="W9" s="12"/>
      <c r="X9" s="14"/>
      <c r="Y9" s="14"/>
      <c r="Z9" s="14"/>
      <c r="AA9" s="14"/>
      <c r="AB9" s="14"/>
      <c r="AC9" s="14"/>
      <c r="AD9" s="14"/>
      <c r="AE9" s="14"/>
      <c r="AF9" s="14"/>
      <c r="AG9" s="14"/>
      <c r="AH9" s="14"/>
      <c r="AI9" s="14"/>
      <c r="AJ9" s="14"/>
      <c r="AK9" s="14"/>
      <c r="AL9" s="14"/>
      <c r="AM9" s="14"/>
      <c r="AN9" s="14"/>
      <c r="AO9" s="14"/>
      <c r="AP9" s="14"/>
      <c r="AR9" t="str">
        <f t="shared" si="1"/>
        <v/>
      </c>
      <c r="AS9" s="70">
        <f t="shared" si="5"/>
        <v>0</v>
      </c>
      <c r="AT9" s="70"/>
      <c r="AU9" s="70">
        <f t="shared" si="2"/>
        <v>0</v>
      </c>
      <c r="AV9" s="70">
        <f t="shared" si="6"/>
        <v>0</v>
      </c>
      <c r="AW9">
        <f>IF(ISNUMBER(AR10),SUM(AT9:AU9),SUM(AT9:AV9))</f>
        <v>0</v>
      </c>
      <c r="AX9" s="71">
        <f t="shared" si="0"/>
        <v>0</v>
      </c>
      <c r="AY9">
        <f t="shared" si="4"/>
        <v>0</v>
      </c>
      <c r="AZ9"/>
    </row>
    <row r="10" spans="1:53" ht="26.45" customHeight="1" x14ac:dyDescent="0.25">
      <c r="A10" s="14"/>
      <c r="B10" s="801"/>
      <c r="C10" s="94" t="s">
        <v>3</v>
      </c>
      <c r="D10" s="95">
        <f>'2015 Model'!D10</f>
        <v>0</v>
      </c>
      <c r="E10" s="85"/>
      <c r="F10" s="99" t="s">
        <v>145</v>
      </c>
      <c r="G10" s="112">
        <f>'2015 Model'!G10</f>
        <v>0</v>
      </c>
      <c r="H10" s="86"/>
      <c r="I10" s="122" t="s">
        <v>165</v>
      </c>
      <c r="J10" s="123">
        <f>'2015 Model'!J10</f>
        <v>0</v>
      </c>
      <c r="K10" s="128"/>
      <c r="L10" s="122" t="s">
        <v>184</v>
      </c>
      <c r="M10" s="123">
        <f>'2015 Model'!M10</f>
        <v>0</v>
      </c>
      <c r="N10" s="12"/>
      <c r="O10" s="6"/>
      <c r="P10" s="14"/>
      <c r="Q10" s="802"/>
      <c r="R10" s="252" t="s">
        <v>496</v>
      </c>
      <c r="S10" s="204" t="e">
        <f>($V$5+$T$5*J15)*J8*J18</f>
        <v>#DIV/0!</v>
      </c>
      <c r="T10" s="806" t="e">
        <f>S10/(J17/J10)</f>
        <v>#DIV/0!</v>
      </c>
      <c r="U10" s="806"/>
      <c r="V10" s="76"/>
      <c r="W10" s="12"/>
      <c r="X10" s="14"/>
      <c r="Y10" s="14"/>
      <c r="Z10" s="14"/>
      <c r="AA10" s="14"/>
      <c r="AB10" s="14"/>
      <c r="AC10" s="14"/>
      <c r="AD10" s="14"/>
      <c r="AE10" s="14"/>
      <c r="AF10" s="14"/>
      <c r="AG10" s="14"/>
      <c r="AH10" s="14"/>
      <c r="AI10" s="14"/>
      <c r="AJ10" s="14"/>
      <c r="AK10" s="14"/>
      <c r="AL10" s="14"/>
      <c r="AM10" s="14"/>
      <c r="AN10" s="14"/>
      <c r="AO10" s="14"/>
      <c r="AP10" s="14"/>
      <c r="AR10" t="str">
        <f t="shared" si="1"/>
        <v/>
      </c>
      <c r="AS10" s="70">
        <f>IF(ISNUMBER(AR10),AV9,0)</f>
        <v>0</v>
      </c>
      <c r="AT10" s="70"/>
      <c r="AU10" s="70">
        <f t="shared" si="2"/>
        <v>0</v>
      </c>
      <c r="AV10" s="70">
        <f t="shared" si="6"/>
        <v>0</v>
      </c>
      <c r="AW10">
        <f>IF(ISNUMBER(AR11),SUM(AT10:AU10),SUM(AT10:AV10))</f>
        <v>0</v>
      </c>
      <c r="AX10" s="71">
        <f t="shared" si="0"/>
        <v>0</v>
      </c>
      <c r="AY10">
        <f t="shared" si="4"/>
        <v>0</v>
      </c>
      <c r="AZ10"/>
    </row>
    <row r="11" spans="1:53" ht="33" customHeight="1" x14ac:dyDescent="0.25">
      <c r="A11" s="14"/>
      <c r="B11" s="801"/>
      <c r="C11" s="107" t="s">
        <v>5</v>
      </c>
      <c r="D11" s="108">
        <f>'2015 Model'!D11</f>
        <v>0</v>
      </c>
      <c r="E11" s="3"/>
      <c r="F11" s="122" t="s">
        <v>323</v>
      </c>
      <c r="G11" s="212">
        <f>'2015 Model'!G11</f>
        <v>0</v>
      </c>
      <c r="H11" s="6"/>
      <c r="I11" s="122" t="s">
        <v>95</v>
      </c>
      <c r="J11" s="123">
        <f>'2015 Model'!J11</f>
        <v>0</v>
      </c>
      <c r="K11" s="128"/>
      <c r="L11" s="122" t="s">
        <v>183</v>
      </c>
      <c r="M11" s="123">
        <f>'2015 Model'!M11</f>
        <v>0</v>
      </c>
      <c r="N11" s="12"/>
      <c r="O11" s="14"/>
      <c r="P11" s="14"/>
      <c r="Q11" s="802"/>
      <c r="R11" s="21" t="s">
        <v>174</v>
      </c>
      <c r="S11" s="204" t="e">
        <f>T6*M12</f>
        <v>#DIV/0!</v>
      </c>
      <c r="T11" s="934" t="e">
        <f>M13*S11/(M7/M10)</f>
        <v>#DIV/0!</v>
      </c>
      <c r="U11" s="806"/>
      <c r="V11" s="76"/>
      <c r="W11" s="12"/>
      <c r="X11" s="14"/>
      <c r="Y11" s="14"/>
      <c r="Z11" s="14"/>
      <c r="AA11" s="14"/>
      <c r="AB11" s="14"/>
      <c r="AC11" s="14"/>
      <c r="AD11" s="14"/>
      <c r="AE11" s="14"/>
      <c r="AF11" s="14"/>
      <c r="AG11" s="14"/>
      <c r="AH11" s="14"/>
      <c r="AI11" s="14"/>
      <c r="AJ11" s="14"/>
      <c r="AK11" s="14"/>
      <c r="AL11" s="14"/>
      <c r="AM11" s="14"/>
      <c r="AN11" s="14"/>
      <c r="AO11" s="14"/>
      <c r="AP11" s="14"/>
      <c r="AR11" t="str">
        <f t="shared" si="1"/>
        <v/>
      </c>
      <c r="AS11" s="70">
        <f>IF(ISNUMBER(AR11),AV10,0)</f>
        <v>0</v>
      </c>
      <c r="AT11" s="70"/>
      <c r="AU11" s="70">
        <f t="shared" si="2"/>
        <v>0</v>
      </c>
      <c r="AV11" s="70">
        <f t="shared" si="6"/>
        <v>0</v>
      </c>
      <c r="AW11">
        <f>IF(ISNUMBER(AR12),SUM(AT11:AU11),SUM(AT11:AV11))</f>
        <v>0</v>
      </c>
      <c r="AX11" s="71">
        <f t="shared" si="0"/>
        <v>0</v>
      </c>
      <c r="AY11">
        <f t="shared" si="4"/>
        <v>0</v>
      </c>
      <c r="AZ11"/>
    </row>
    <row r="12" spans="1:53" ht="24" customHeight="1" x14ac:dyDescent="0.25">
      <c r="A12" s="14"/>
      <c r="B12" s="15"/>
      <c r="C12" s="9"/>
      <c r="D12" s="8"/>
      <c r="E12" s="2"/>
      <c r="F12" s="48"/>
      <c r="G12" s="49"/>
      <c r="H12" s="9"/>
      <c r="I12" s="122" t="s">
        <v>226</v>
      </c>
      <c r="J12" s="123">
        <f>'2015 Model'!J12</f>
        <v>0</v>
      </c>
      <c r="K12" s="6"/>
      <c r="L12" s="122" t="s">
        <v>177</v>
      </c>
      <c r="M12" s="123">
        <f>'2015 Model'!M12</f>
        <v>0</v>
      </c>
      <c r="N12" s="12"/>
      <c r="O12" s="6"/>
      <c r="P12" s="14"/>
      <c r="Q12" s="96"/>
      <c r="R12" s="21"/>
      <c r="S12" s="97"/>
      <c r="T12" s="76"/>
      <c r="U12" s="76"/>
      <c r="V12" s="76"/>
      <c r="W12" s="12"/>
      <c r="X12" s="14"/>
      <c r="Y12" s="14"/>
      <c r="Z12" s="14"/>
      <c r="AA12" s="14"/>
      <c r="AB12" s="14"/>
      <c r="AC12" s="14"/>
      <c r="AD12" s="14"/>
      <c r="AE12" s="14"/>
      <c r="AF12" s="14"/>
      <c r="AG12" s="14"/>
      <c r="AH12" s="14"/>
      <c r="AI12" s="14"/>
      <c r="AJ12" s="14"/>
      <c r="AK12" s="14"/>
      <c r="AL12" s="14"/>
      <c r="AM12" s="14"/>
      <c r="AN12" s="14"/>
      <c r="AO12" s="14"/>
      <c r="AP12" s="14"/>
      <c r="AR12" t="str">
        <f t="shared" si="1"/>
        <v/>
      </c>
      <c r="AS12" s="70">
        <f>IF(ISNUMBER(AR12),AV11,0)</f>
        <v>0</v>
      </c>
      <c r="AT12" s="70"/>
      <c r="AU12" s="70">
        <f t="shared" si="2"/>
        <v>0</v>
      </c>
      <c r="AV12" s="70">
        <f t="shared" si="6"/>
        <v>0</v>
      </c>
      <c r="AW12">
        <f>IF(ISNUMBER(AR13),SUM(AT12:AU12),SUM(AT12:AV12))</f>
        <v>0</v>
      </c>
      <c r="AX12" s="71">
        <f t="shared" si="0"/>
        <v>0</v>
      </c>
      <c r="AY12">
        <f t="shared" si="4"/>
        <v>0</v>
      </c>
      <c r="AZ12"/>
    </row>
    <row r="13" spans="1:53" ht="24" customHeight="1" x14ac:dyDescent="0.25">
      <c r="A13" s="14"/>
      <c r="B13" s="15"/>
      <c r="C13" s="9"/>
      <c r="D13" s="8"/>
      <c r="E13" s="2"/>
      <c r="F13" s="48"/>
      <c r="G13" s="49"/>
      <c r="H13" s="6"/>
      <c r="I13" s="9"/>
      <c r="J13" s="8"/>
      <c r="K13" s="6"/>
      <c r="L13" s="122" t="s">
        <v>176</v>
      </c>
      <c r="M13" s="123">
        <f>'2015 Model'!M13</f>
        <v>0</v>
      </c>
      <c r="N13" s="12"/>
      <c r="O13" s="6"/>
      <c r="P13" s="14"/>
      <c r="Q13" s="802" t="s">
        <v>192</v>
      </c>
      <c r="R13" s="44"/>
      <c r="S13" s="201" t="s">
        <v>142</v>
      </c>
      <c r="T13" s="803" t="s">
        <v>143</v>
      </c>
      <c r="U13" s="803"/>
      <c r="V13" s="201" t="s">
        <v>144</v>
      </c>
      <c r="W13" s="202" t="s">
        <v>152</v>
      </c>
      <c r="X13" s="14"/>
      <c r="Y13" s="14"/>
      <c r="Z13" s="14"/>
      <c r="AA13" s="14"/>
      <c r="AB13" s="14"/>
      <c r="AC13" s="14"/>
      <c r="AD13" s="14"/>
      <c r="AE13" s="14"/>
      <c r="AF13" s="14"/>
      <c r="AG13" s="14"/>
      <c r="AH13" s="14"/>
      <c r="AI13" s="14"/>
      <c r="AJ13" s="14"/>
      <c r="AK13" s="14"/>
      <c r="AL13" s="14"/>
      <c r="AM13" s="14"/>
      <c r="AN13" s="14"/>
      <c r="AO13" s="14"/>
      <c r="AP13" s="14"/>
      <c r="AR13" t="str">
        <f t="shared" si="1"/>
        <v/>
      </c>
      <c r="AS13" s="70">
        <f>IF(ISNUMBER(AR13),AV12,0)</f>
        <v>0</v>
      </c>
      <c r="AT13" s="70"/>
      <c r="AU13" s="70">
        <f t="shared" si="2"/>
        <v>0</v>
      </c>
      <c r="AV13" s="70">
        <f t="shared" si="6"/>
        <v>0</v>
      </c>
      <c r="AW13">
        <f t="shared" si="3"/>
        <v>0</v>
      </c>
      <c r="AX13" s="71">
        <f t="shared" si="0"/>
        <v>0</v>
      </c>
      <c r="AY13">
        <f t="shared" si="4"/>
        <v>0</v>
      </c>
      <c r="AZ13"/>
    </row>
    <row r="14" spans="1:53" ht="21" customHeight="1" x14ac:dyDescent="0.25">
      <c r="A14" s="14"/>
      <c r="B14" s="931" t="s">
        <v>214</v>
      </c>
      <c r="C14" s="836" t="s">
        <v>1</v>
      </c>
      <c r="D14" s="917">
        <f>'2015 Model'!D14</f>
        <v>0</v>
      </c>
      <c r="E14" s="3"/>
      <c r="F14" s="836" t="s">
        <v>2</v>
      </c>
      <c r="G14" s="917">
        <f>'2015 Model'!G14</f>
        <v>0</v>
      </c>
      <c r="H14" s="6"/>
      <c r="I14" s="101" t="s">
        <v>11</v>
      </c>
      <c r="J14" s="102">
        <f>'2015 Model'!J14</f>
        <v>0</v>
      </c>
      <c r="K14" s="129"/>
      <c r="L14" s="122" t="s">
        <v>178</v>
      </c>
      <c r="M14" s="123">
        <f>'2015 Model'!M14</f>
        <v>0</v>
      </c>
      <c r="N14" s="12"/>
      <c r="O14" s="6"/>
      <c r="P14" s="14"/>
      <c r="Q14" s="802"/>
      <c r="R14" s="21" t="s">
        <v>44</v>
      </c>
      <c r="S14" s="204" t="e">
        <f>(1000/(J16/J9))*J14*J11*G9*J12*G10*G7*J7*G8*G18*(1/G36)</f>
        <v>#DIV/0!</v>
      </c>
      <c r="T14" s="828" t="e">
        <f>(((1000/(J16/J9))*G14)/U36)*J7*J11</f>
        <v>#DIV/0!</v>
      </c>
      <c r="U14" s="828"/>
      <c r="V14" s="204" t="e">
        <f>S14+T14</f>
        <v>#DIV/0!</v>
      </c>
      <c r="W14" s="149" t="e">
        <f>1000/V14</f>
        <v>#DIV/0!</v>
      </c>
      <c r="X14" s="14"/>
      <c r="Y14" s="14"/>
      <c r="Z14" s="14"/>
      <c r="AA14" s="14"/>
      <c r="AB14" s="14"/>
      <c r="AC14" s="14"/>
      <c r="AD14" s="14"/>
      <c r="AE14" s="14"/>
      <c r="AF14" s="14"/>
      <c r="AG14" s="14"/>
      <c r="AH14" s="14"/>
      <c r="AI14" s="14"/>
      <c r="AJ14" s="14"/>
      <c r="AK14" s="14"/>
      <c r="AL14" s="14"/>
      <c r="AM14" s="14"/>
      <c r="AN14" s="14"/>
      <c r="AO14" s="14"/>
      <c r="AP14" s="14"/>
      <c r="AR14" t="str">
        <f t="shared" si="1"/>
        <v/>
      </c>
      <c r="AS14" s="70">
        <f t="shared" si="5"/>
        <v>0</v>
      </c>
      <c r="AT14" s="70"/>
      <c r="AU14" s="70">
        <f t="shared" si="2"/>
        <v>0</v>
      </c>
      <c r="AV14" s="70">
        <f t="shared" si="6"/>
        <v>0</v>
      </c>
      <c r="AW14">
        <f t="shared" si="3"/>
        <v>0</v>
      </c>
      <c r="AX14" s="71">
        <f t="shared" si="0"/>
        <v>0</v>
      </c>
      <c r="AY14">
        <f t="shared" si="4"/>
        <v>0</v>
      </c>
      <c r="AZ14"/>
    </row>
    <row r="15" spans="1:53" ht="21" customHeight="1" x14ac:dyDescent="0.25">
      <c r="A15" s="14"/>
      <c r="B15" s="931"/>
      <c r="C15" s="837"/>
      <c r="D15" s="917">
        <f>'2015 Model'!D15</f>
        <v>0</v>
      </c>
      <c r="E15" s="3"/>
      <c r="F15" s="837"/>
      <c r="G15" s="918">
        <f>'2015 Model'!G15</f>
        <v>0</v>
      </c>
      <c r="H15" s="6"/>
      <c r="I15" s="109" t="s">
        <v>10</v>
      </c>
      <c r="J15" s="110">
        <f>'2015 Model'!J15</f>
        <v>0</v>
      </c>
      <c r="K15" s="129"/>
      <c r="L15" s="136" t="s">
        <v>181</v>
      </c>
      <c r="M15" s="137">
        <f>'2015 Model'!M15</f>
        <v>0</v>
      </c>
      <c r="N15" s="12"/>
      <c r="O15" s="6"/>
      <c r="P15" s="14"/>
      <c r="Q15" s="802"/>
      <c r="R15" s="21" t="s">
        <v>43</v>
      </c>
      <c r="S15" s="210" t="e">
        <f>(1000/(J17/J10))*J15*J8*G10*G7*G8*J18*G9*G18*(1/G36)</f>
        <v>#DIV/0!</v>
      </c>
      <c r="T15" s="935" t="e">
        <f>(((1000/(J17/J10))*G14)/U36)*J18*J8</f>
        <v>#DIV/0!</v>
      </c>
      <c r="U15" s="935"/>
      <c r="V15" s="204" t="e">
        <f>S15+T15</f>
        <v>#DIV/0!</v>
      </c>
      <c r="W15" s="149" t="e">
        <f>1000/V15</f>
        <v>#DIV/0!</v>
      </c>
      <c r="X15" s="14"/>
      <c r="Y15" s="14"/>
      <c r="Z15" s="14"/>
      <c r="AA15" s="14"/>
      <c r="AB15" s="14"/>
      <c r="AC15" s="14"/>
      <c r="AD15" s="14"/>
      <c r="AE15" s="14"/>
      <c r="AF15" s="14"/>
      <c r="AG15" s="14"/>
      <c r="AH15" s="14"/>
      <c r="AI15" s="14"/>
      <c r="AJ15" s="14"/>
      <c r="AK15" s="14"/>
      <c r="AL15" s="14"/>
      <c r="AM15" s="14"/>
      <c r="AN15" s="14"/>
      <c r="AO15" s="14"/>
      <c r="AP15" s="14"/>
      <c r="AR15" t="str">
        <f t="shared" si="1"/>
        <v/>
      </c>
      <c r="AS15" s="70">
        <f t="shared" si="5"/>
        <v>0</v>
      </c>
      <c r="AT15" s="70"/>
      <c r="AU15" s="70">
        <f t="shared" si="2"/>
        <v>0</v>
      </c>
      <c r="AV15" s="70">
        <f t="shared" si="6"/>
        <v>0</v>
      </c>
      <c r="AW15">
        <f>IF(ISNUMBER(AR16),SUM(AT15:AU15),SUM(AT15:AV15))</f>
        <v>0</v>
      </c>
      <c r="AX15" s="71">
        <f t="shared" si="0"/>
        <v>0</v>
      </c>
      <c r="AY15">
        <f t="shared" si="4"/>
        <v>0</v>
      </c>
      <c r="AZ15"/>
    </row>
    <row r="16" spans="1:53" ht="21" customHeight="1" x14ac:dyDescent="0.25">
      <c r="A16" s="14"/>
      <c r="B16" s="931"/>
      <c r="C16" s="841" t="s">
        <v>19</v>
      </c>
      <c r="D16" s="933">
        <f>'2015 Model'!D16</f>
        <v>0</v>
      </c>
      <c r="E16" s="3"/>
      <c r="F16" s="841" t="s">
        <v>216</v>
      </c>
      <c r="G16" s="916">
        <f>'2015 Model'!G16</f>
        <v>0</v>
      </c>
      <c r="H16" s="6"/>
      <c r="I16" s="105" t="s">
        <v>28</v>
      </c>
      <c r="J16" s="103">
        <f>'2015 Model'!J16</f>
        <v>0</v>
      </c>
      <c r="K16" s="130"/>
      <c r="L16" s="6"/>
      <c r="M16" s="6"/>
      <c r="N16" s="12"/>
      <c r="O16" s="6"/>
      <c r="P16" s="14"/>
      <c r="Q16" s="802"/>
      <c r="R16" s="21" t="s">
        <v>168</v>
      </c>
      <c r="S16" s="936" t="e">
        <f>(1000/(M7/M10))*M9*M8*(1/V36)*W36*M12*M14*M11*(M15/D36)*M13*G10</f>
        <v>#DIV/0!</v>
      </c>
      <c r="T16" s="936"/>
      <c r="U16" s="205">
        <v>0</v>
      </c>
      <c r="V16" s="204" t="e">
        <f>S16+U16</f>
        <v>#DIV/0!</v>
      </c>
      <c r="W16" s="149" t="e">
        <f>1000/V16</f>
        <v>#DIV/0!</v>
      </c>
      <c r="X16" s="14"/>
      <c r="Y16" s="14"/>
      <c r="Z16" s="14"/>
      <c r="AA16" s="14"/>
      <c r="AB16" s="14"/>
      <c r="AC16" s="14"/>
      <c r="AD16" s="14"/>
      <c r="AE16" s="14"/>
      <c r="AF16" s="14"/>
      <c r="AG16" s="14"/>
      <c r="AH16" s="14"/>
      <c r="AI16" s="14"/>
      <c r="AJ16" s="14"/>
      <c r="AK16" s="14"/>
      <c r="AL16" s="14"/>
      <c r="AM16" s="14"/>
      <c r="AN16" s="14"/>
      <c r="AO16" s="14"/>
      <c r="AP16" s="14"/>
      <c r="AR16" t="str">
        <f t="shared" si="1"/>
        <v/>
      </c>
      <c r="AS16" s="70">
        <f t="shared" si="5"/>
        <v>0</v>
      </c>
      <c r="AT16" s="70"/>
      <c r="AU16" s="70">
        <f t="shared" si="2"/>
        <v>0</v>
      </c>
      <c r="AV16" s="70">
        <f t="shared" si="6"/>
        <v>0</v>
      </c>
      <c r="AW16">
        <f t="shared" ref="AW16:AW80" si="7">IF(ISNUMBER(AR17),SUM(AT16:AU16),SUM(AT16:AV16))</f>
        <v>0</v>
      </c>
      <c r="AX16" s="71">
        <f t="shared" si="0"/>
        <v>0</v>
      </c>
      <c r="AY16">
        <f t="shared" si="4"/>
        <v>0</v>
      </c>
      <c r="AZ16"/>
    </row>
    <row r="17" spans="1:53" ht="31.7" customHeight="1" x14ac:dyDescent="0.25">
      <c r="A17" s="14"/>
      <c r="B17" s="931"/>
      <c r="C17" s="855"/>
      <c r="D17" s="857">
        <f>'2015 Model'!D17</f>
        <v>0</v>
      </c>
      <c r="E17" s="3"/>
      <c r="F17" s="837"/>
      <c r="G17" s="849">
        <f>'2015 Model'!G17</f>
        <v>0</v>
      </c>
      <c r="H17" s="6"/>
      <c r="I17" s="106" t="s">
        <v>7</v>
      </c>
      <c r="J17" s="104">
        <f>'2015 Model'!J17</f>
        <v>0</v>
      </c>
      <c r="K17" s="130"/>
      <c r="L17" s="14"/>
      <c r="M17" s="14"/>
      <c r="N17" s="12"/>
      <c r="O17" s="6"/>
      <c r="P17" s="14"/>
      <c r="Q17" s="15"/>
      <c r="R17" s="6"/>
      <c r="S17" s="6"/>
      <c r="T17" s="6"/>
      <c r="U17" s="6"/>
      <c r="V17" s="6"/>
      <c r="W17" s="12"/>
      <c r="X17" s="14"/>
      <c r="Y17" s="14"/>
      <c r="Z17" s="14"/>
      <c r="AA17" s="14"/>
      <c r="AB17" s="14"/>
      <c r="AC17" s="14"/>
      <c r="AD17" s="14"/>
      <c r="AE17" s="14"/>
      <c r="AF17" s="14"/>
      <c r="AG17" s="14"/>
      <c r="AH17" s="14"/>
      <c r="AI17" s="14"/>
      <c r="AJ17" s="14"/>
      <c r="AK17" s="14"/>
      <c r="AL17" s="14"/>
      <c r="AM17" s="14"/>
      <c r="AN17" s="14"/>
      <c r="AO17" s="14"/>
      <c r="AP17" s="14"/>
      <c r="AR17" t="str">
        <f>IF(AR16&lt;$D$14,AR16+1,"")</f>
        <v/>
      </c>
      <c r="AS17" s="70">
        <f>IF(ISNUMBER(AR17),AV16,0)</f>
        <v>0</v>
      </c>
      <c r="AT17" s="70"/>
      <c r="AU17" s="70">
        <f t="shared" si="2"/>
        <v>0</v>
      </c>
      <c r="AV17" s="70">
        <f t="shared" si="6"/>
        <v>0</v>
      </c>
      <c r="AW17">
        <f>IF(ISNUMBER(AR18),SUM(AT17:AU17),SUM(AT17:AV17))</f>
        <v>0</v>
      </c>
      <c r="AX17" s="71">
        <f t="shared" si="0"/>
        <v>0</v>
      </c>
      <c r="AY17">
        <f t="shared" si="4"/>
        <v>0</v>
      </c>
      <c r="AZ17"/>
    </row>
    <row r="18" spans="1:53" ht="30.75" customHeight="1" x14ac:dyDescent="0.25">
      <c r="A18" s="14"/>
      <c r="B18" s="931"/>
      <c r="C18" s="6"/>
      <c r="D18" s="6"/>
      <c r="E18" s="3"/>
      <c r="F18" s="121" t="s">
        <v>199</v>
      </c>
      <c r="G18" s="119">
        <f>'2015 Model'!G18</f>
        <v>0</v>
      </c>
      <c r="H18" s="6"/>
      <c r="I18" s="118" t="s">
        <v>113</v>
      </c>
      <c r="J18" s="117">
        <f>'2015 Model'!J18</f>
        <v>0</v>
      </c>
      <c r="K18" s="129"/>
      <c r="L18" s="14"/>
      <c r="M18" s="14"/>
      <c r="N18" s="12"/>
      <c r="O18" s="6"/>
      <c r="P18" s="6"/>
      <c r="Q18" s="802" t="s">
        <v>193</v>
      </c>
      <c r="R18" s="201" t="s">
        <v>148</v>
      </c>
      <c r="S18" s="201" t="s">
        <v>35</v>
      </c>
      <c r="T18" s="803" t="s">
        <v>36</v>
      </c>
      <c r="U18" s="803"/>
      <c r="V18" s="803" t="s">
        <v>34</v>
      </c>
      <c r="W18" s="804"/>
      <c r="X18" s="14"/>
      <c r="Y18" s="14"/>
      <c r="Z18" s="14"/>
      <c r="AA18" s="14"/>
      <c r="AB18" s="14"/>
      <c r="AC18" s="14"/>
      <c r="AD18" s="14"/>
      <c r="AE18" s="14"/>
      <c r="AF18" s="14"/>
      <c r="AG18" s="14"/>
      <c r="AH18" s="14"/>
      <c r="AI18" s="14"/>
      <c r="AJ18" s="14"/>
      <c r="AK18" s="14"/>
      <c r="AL18" s="14"/>
      <c r="AM18" s="14"/>
      <c r="AN18" s="14"/>
      <c r="AO18" s="14"/>
      <c r="AP18" s="14"/>
      <c r="AR18" t="str">
        <f>IF(AR17&lt;$D$14,AR17+1,"")</f>
        <v/>
      </c>
      <c r="AS18" s="70">
        <f>IF(ISNUMBER(AR18),AV17,0)</f>
        <v>0</v>
      </c>
      <c r="AT18" s="70"/>
      <c r="AU18" s="70">
        <f t="shared" si="2"/>
        <v>0</v>
      </c>
      <c r="AV18" s="70">
        <f t="shared" si="6"/>
        <v>0</v>
      </c>
      <c r="AW18">
        <f>IF(ISNUMBER(AR19),SUM(AT18:AU18),SUM(AT18:AV18))</f>
        <v>0</v>
      </c>
      <c r="AX18" s="71">
        <f t="shared" si="0"/>
        <v>0</v>
      </c>
      <c r="AY18">
        <f t="shared" si="4"/>
        <v>0</v>
      </c>
      <c r="AZ18"/>
    </row>
    <row r="19" spans="1:53" ht="10.5" customHeight="1" thickBot="1" x14ac:dyDescent="0.3">
      <c r="A19" s="14"/>
      <c r="B19" s="113"/>
      <c r="C19" s="7"/>
      <c r="D19" s="7"/>
      <c r="E19" s="7"/>
      <c r="F19" s="114"/>
      <c r="G19" s="115"/>
      <c r="H19" s="7"/>
      <c r="I19" s="7"/>
      <c r="J19" s="7"/>
      <c r="K19" s="7"/>
      <c r="L19" s="132"/>
      <c r="M19" s="7"/>
      <c r="N19" s="116"/>
      <c r="O19" s="6"/>
      <c r="P19" s="14"/>
      <c r="Q19" s="937"/>
      <c r="R19" s="206">
        <f>AZ5</f>
        <v>0</v>
      </c>
      <c r="S19" s="206">
        <f>AY4</f>
        <v>0.69677796237285428</v>
      </c>
      <c r="T19" s="938">
        <f>R19+S19</f>
        <v>0.69677796237285428</v>
      </c>
      <c r="U19" s="938"/>
      <c r="V19" s="830" t="e">
        <f>T19/('2014 model'!Q36/'2014 model'!D16)</f>
        <v>#DIV/0!</v>
      </c>
      <c r="W19" s="939"/>
      <c r="X19" s="14"/>
      <c r="Y19" s="14"/>
      <c r="Z19" s="14"/>
      <c r="AA19" s="14"/>
      <c r="AB19" s="14"/>
      <c r="AC19" s="14"/>
      <c r="AD19" s="14"/>
      <c r="AE19" s="14"/>
      <c r="AF19" s="14"/>
      <c r="AG19" s="14"/>
      <c r="AH19" s="14"/>
      <c r="AI19" s="14"/>
      <c r="AJ19" s="14"/>
      <c r="AK19" s="14"/>
      <c r="AL19" s="14"/>
      <c r="AM19" s="14"/>
      <c r="AN19" s="14"/>
      <c r="AO19" s="14"/>
      <c r="AP19" s="14"/>
      <c r="AR19" t="str">
        <f>IF(AR18&lt;$D$14,AR18+1,"")</f>
        <v/>
      </c>
      <c r="AS19" s="70">
        <f>IF(ISNUMBER(AR19),AV18,0)</f>
        <v>0</v>
      </c>
      <c r="AT19" s="70"/>
      <c r="AU19" s="70">
        <f t="shared" si="2"/>
        <v>0</v>
      </c>
      <c r="AV19" s="70">
        <f t="shared" si="6"/>
        <v>0</v>
      </c>
      <c r="AW19">
        <f t="shared" si="7"/>
        <v>0</v>
      </c>
      <c r="AX19" s="71">
        <f t="shared" si="0"/>
        <v>0</v>
      </c>
      <c r="AY19">
        <f t="shared" si="4"/>
        <v>0</v>
      </c>
      <c r="AZ19"/>
    </row>
    <row r="20" spans="1:53" ht="9.75" customHeight="1" thickBot="1" x14ac:dyDescent="0.3">
      <c r="A20" s="14"/>
      <c r="B20" s="14"/>
      <c r="C20" s="14"/>
      <c r="D20" s="14"/>
      <c r="E20" s="14"/>
      <c r="F20" s="14"/>
      <c r="G20" s="14"/>
      <c r="H20" s="14"/>
      <c r="I20" s="14"/>
      <c r="J20" s="14"/>
      <c r="K20" s="14"/>
      <c r="L20" s="14"/>
      <c r="M20" s="14"/>
      <c r="N20" s="14"/>
      <c r="O20" s="14"/>
      <c r="P20" s="14"/>
      <c r="Q20" s="6"/>
      <c r="R20" s="6"/>
      <c r="S20" s="6"/>
      <c r="T20" s="6"/>
      <c r="U20" s="6"/>
      <c r="V20" s="6"/>
      <c r="W20" s="6"/>
      <c r="X20" s="14"/>
      <c r="Y20" s="14"/>
      <c r="Z20" s="14"/>
      <c r="AA20" s="14"/>
      <c r="AB20" s="14"/>
      <c r="AC20" s="14"/>
      <c r="AD20" s="14"/>
      <c r="AE20" s="14"/>
      <c r="AF20" s="14"/>
      <c r="AG20" s="14"/>
      <c r="AH20" s="14"/>
      <c r="AI20" s="14"/>
      <c r="AJ20" s="14"/>
      <c r="AK20" s="14"/>
      <c r="AL20" s="14"/>
      <c r="AM20" s="14"/>
      <c r="AN20" s="14"/>
      <c r="AO20" s="14"/>
      <c r="AP20" s="14"/>
      <c r="AR20" t="str">
        <f t="shared" si="1"/>
        <v/>
      </c>
      <c r="AS20" s="70">
        <f t="shared" si="5"/>
        <v>0</v>
      </c>
      <c r="AT20" s="70"/>
      <c r="AU20" s="70">
        <f t="shared" si="2"/>
        <v>0</v>
      </c>
      <c r="AV20" s="70">
        <f t="shared" si="6"/>
        <v>0</v>
      </c>
      <c r="AW20">
        <f t="shared" si="7"/>
        <v>0</v>
      </c>
      <c r="AX20" s="71">
        <f t="shared" si="0"/>
        <v>0</v>
      </c>
      <c r="AY20">
        <f t="shared" si="4"/>
        <v>0</v>
      </c>
      <c r="AZ20"/>
    </row>
    <row r="21" spans="1:53" ht="10.5" customHeight="1" x14ac:dyDescent="0.25">
      <c r="A21" s="14"/>
      <c r="B21" s="14"/>
      <c r="C21" s="14"/>
      <c r="D21" s="14"/>
      <c r="E21" s="6"/>
      <c r="F21" s="864" t="s">
        <v>34</v>
      </c>
      <c r="G21" s="27" t="s">
        <v>33</v>
      </c>
      <c r="H21" s="28"/>
      <c r="I21" s="29" t="e">
        <f>T9</f>
        <v>#DIV/0!</v>
      </c>
      <c r="J21" s="30"/>
      <c r="K21" s="30"/>
      <c r="L21" s="30"/>
      <c r="M21" s="30"/>
      <c r="N21" s="31"/>
      <c r="O21" s="35"/>
      <c r="P21" s="6"/>
      <c r="Q21" s="213"/>
      <c r="R21" s="840" t="s">
        <v>324</v>
      </c>
      <c r="S21" s="948"/>
      <c r="T21" s="214"/>
      <c r="U21" s="949" t="s">
        <v>37</v>
      </c>
      <c r="V21" s="949"/>
      <c r="W21" s="950"/>
      <c r="X21" s="14"/>
      <c r="Y21" s="14"/>
      <c r="Z21" s="14"/>
      <c r="AA21" s="14"/>
      <c r="AB21" s="14"/>
      <c r="AC21" s="14"/>
      <c r="AD21" s="14"/>
      <c r="AE21" s="14"/>
      <c r="AF21" s="14"/>
      <c r="AG21" s="14"/>
      <c r="AH21" s="14"/>
      <c r="AI21" s="14"/>
      <c r="AJ21" s="14"/>
      <c r="AK21" s="14"/>
      <c r="AL21" s="14"/>
      <c r="AM21" s="14"/>
      <c r="AN21" s="14"/>
      <c r="AO21" s="14"/>
      <c r="AP21" s="14"/>
      <c r="AR21" t="str">
        <f t="shared" si="1"/>
        <v/>
      </c>
      <c r="AS21" s="70">
        <f t="shared" si="5"/>
        <v>0</v>
      </c>
      <c r="AT21" s="70"/>
      <c r="AU21" s="70">
        <f t="shared" si="2"/>
        <v>0</v>
      </c>
      <c r="AV21" s="70">
        <f t="shared" si="6"/>
        <v>0</v>
      </c>
      <c r="AW21">
        <f t="shared" si="7"/>
        <v>0</v>
      </c>
      <c r="AX21" s="71">
        <f t="shared" si="0"/>
        <v>0</v>
      </c>
      <c r="AY21">
        <f t="shared" si="4"/>
        <v>0</v>
      </c>
      <c r="AZ21"/>
    </row>
    <row r="22" spans="1:53" ht="12" customHeight="1" thickBot="1" x14ac:dyDescent="0.3">
      <c r="A22" s="14"/>
      <c r="B22" s="14"/>
      <c r="C22" s="14"/>
      <c r="D22" s="14"/>
      <c r="E22" s="6"/>
      <c r="F22" s="865"/>
      <c r="G22" s="32" t="s">
        <v>32</v>
      </c>
      <c r="H22" s="33"/>
      <c r="I22" s="34" t="e">
        <f>T10</f>
        <v>#DIV/0!</v>
      </c>
      <c r="J22" s="35"/>
      <c r="K22" s="35"/>
      <c r="L22" s="35"/>
      <c r="M22" s="35"/>
      <c r="N22" s="36"/>
      <c r="O22" s="35"/>
      <c r="P22" s="6"/>
      <c r="Q22" s="215"/>
      <c r="R22" s="802"/>
      <c r="S22" s="874"/>
      <c r="T22" s="211"/>
      <c r="U22" s="951"/>
      <c r="V22" s="951"/>
      <c r="W22" s="952"/>
      <c r="X22" s="14"/>
      <c r="Y22" s="216"/>
      <c r="Z22" s="14"/>
      <c r="AA22" s="14"/>
      <c r="AB22" s="14"/>
      <c r="AC22" s="14"/>
      <c r="AD22" s="14"/>
      <c r="AE22" s="14"/>
      <c r="AF22" s="14"/>
      <c r="AG22" s="14"/>
      <c r="AH22" s="14"/>
      <c r="AI22" s="14"/>
      <c r="AJ22" s="14"/>
      <c r="AK22" s="14"/>
      <c r="AL22" s="14"/>
      <c r="AM22" s="14"/>
      <c r="AN22" s="14"/>
      <c r="AO22" s="14"/>
      <c r="AP22" s="14"/>
      <c r="AR22" t="str">
        <f t="shared" si="1"/>
        <v/>
      </c>
      <c r="AS22" s="70">
        <f t="shared" si="5"/>
        <v>0</v>
      </c>
      <c r="AT22" s="70"/>
      <c r="AU22" s="70">
        <f t="shared" si="2"/>
        <v>0</v>
      </c>
      <c r="AV22" s="70">
        <f t="shared" si="6"/>
        <v>0</v>
      </c>
      <c r="AW22">
        <f t="shared" si="7"/>
        <v>0</v>
      </c>
      <c r="AX22" s="71">
        <f t="shared" si="0"/>
        <v>0</v>
      </c>
      <c r="AY22">
        <f t="shared" si="4"/>
        <v>0</v>
      </c>
      <c r="AZ22"/>
    </row>
    <row r="23" spans="1:53" ht="10.7" customHeight="1" x14ac:dyDescent="0.25">
      <c r="A23" s="14"/>
      <c r="B23" s="792" t="s">
        <v>188</v>
      </c>
      <c r="C23" s="878"/>
      <c r="D23" s="878"/>
      <c r="E23" s="878"/>
      <c r="F23" s="865"/>
      <c r="G23" s="32" t="s">
        <v>168</v>
      </c>
      <c r="H23" s="33"/>
      <c r="I23" s="34" t="e">
        <f>T11</f>
        <v>#DIV/0!</v>
      </c>
      <c r="J23" s="35"/>
      <c r="K23" s="35"/>
      <c r="L23" s="35"/>
      <c r="M23" s="35"/>
      <c r="N23" s="36"/>
      <c r="O23" s="35"/>
      <c r="P23" s="6"/>
      <c r="Q23" s="213"/>
      <c r="R23" s="217" t="s">
        <v>42</v>
      </c>
      <c r="S23" s="218" t="e">
        <f>W24/W23</f>
        <v>#DIV/0!</v>
      </c>
      <c r="T23" s="219"/>
      <c r="U23" s="220" t="s">
        <v>38</v>
      </c>
      <c r="V23" s="220"/>
      <c r="W23" s="221" t="e">
        <f>(R36/S36)*T5</f>
        <v>#DIV/0!</v>
      </c>
      <c r="X23" s="14"/>
      <c r="Y23" s="216"/>
      <c r="Z23" s="14"/>
      <c r="AA23" s="14"/>
      <c r="AB23" s="14"/>
      <c r="AC23" s="14"/>
      <c r="AD23" s="14"/>
      <c r="AE23" s="14"/>
      <c r="AF23" s="14"/>
      <c r="AG23" s="14"/>
      <c r="AH23" s="14"/>
      <c r="AI23" s="14"/>
      <c r="AJ23" s="14"/>
      <c r="AK23" s="14"/>
      <c r="AL23" s="14"/>
      <c r="AM23" s="14"/>
      <c r="AN23" s="14"/>
      <c r="AO23" s="14"/>
      <c r="AP23" s="14"/>
      <c r="AR23" t="str">
        <f t="shared" si="1"/>
        <v/>
      </c>
      <c r="AS23" s="70">
        <f t="shared" si="5"/>
        <v>0</v>
      </c>
      <c r="AT23" s="70"/>
      <c r="AU23" s="70">
        <f t="shared" si="2"/>
        <v>0</v>
      </c>
      <c r="AV23" s="70">
        <f t="shared" si="6"/>
        <v>0</v>
      </c>
      <c r="AW23">
        <f t="shared" si="7"/>
        <v>0</v>
      </c>
      <c r="AX23" s="71">
        <f t="shared" si="0"/>
        <v>0</v>
      </c>
      <c r="AY23">
        <f t="shared" si="4"/>
        <v>0</v>
      </c>
      <c r="AZ23"/>
    </row>
    <row r="24" spans="1:53" ht="12.75" customHeight="1" thickBot="1" x14ac:dyDescent="0.3">
      <c r="A24" s="14"/>
      <c r="B24" s="879"/>
      <c r="C24" s="880"/>
      <c r="D24" s="880"/>
      <c r="E24" s="880"/>
      <c r="F24" s="865"/>
      <c r="G24" s="32" t="s">
        <v>14</v>
      </c>
      <c r="H24" s="33"/>
      <c r="I24" s="34" t="e">
        <f>'2014 model'!V19</f>
        <v>#DIV/0!</v>
      </c>
      <c r="J24" s="35"/>
      <c r="K24" s="35"/>
      <c r="L24" s="35"/>
      <c r="M24" s="35"/>
      <c r="N24" s="36"/>
      <c r="O24" s="35"/>
      <c r="P24" s="6"/>
      <c r="Q24" s="215"/>
      <c r="R24" s="217" t="s">
        <v>32</v>
      </c>
      <c r="S24" s="218" t="e">
        <f>W25/W23</f>
        <v>#DIV/0!</v>
      </c>
      <c r="T24" s="219"/>
      <c r="U24" s="220" t="s">
        <v>325</v>
      </c>
      <c r="V24" s="220"/>
      <c r="W24" s="221" t="e">
        <f>T9*R36</f>
        <v>#DIV/0!</v>
      </c>
      <c r="X24" s="14"/>
      <c r="Y24" s="6"/>
      <c r="Z24" s="14"/>
      <c r="AA24" s="14"/>
      <c r="AB24" s="14"/>
      <c r="AC24" s="14"/>
      <c r="AD24" s="14"/>
      <c r="AE24" s="14"/>
      <c r="AF24" s="14"/>
      <c r="AG24" s="14"/>
      <c r="AH24" s="14"/>
      <c r="AI24" s="14"/>
      <c r="AJ24" s="14"/>
      <c r="AK24" s="14"/>
      <c r="AL24" s="14"/>
      <c r="AM24" s="14"/>
      <c r="AN24" s="14"/>
      <c r="AO24" s="14"/>
      <c r="AP24" s="14"/>
      <c r="AR24" t="str">
        <f t="shared" si="1"/>
        <v/>
      </c>
      <c r="AS24" s="70">
        <f t="shared" si="5"/>
        <v>0</v>
      </c>
      <c r="AT24" s="70"/>
      <c r="AU24" s="70">
        <f t="shared" si="2"/>
        <v>0</v>
      </c>
      <c r="AV24" s="70">
        <f t="shared" si="6"/>
        <v>0</v>
      </c>
      <c r="AW24">
        <f>IF(ISNUMBER(AR25),SUM(AT24:AU24),SUM(AT24:AV24))</f>
        <v>0</v>
      </c>
      <c r="AX24" s="71">
        <f t="shared" si="0"/>
        <v>0</v>
      </c>
      <c r="AY24">
        <f t="shared" si="4"/>
        <v>0</v>
      </c>
      <c r="AZ24"/>
    </row>
    <row r="25" spans="1:53" ht="14.45" customHeight="1" x14ac:dyDescent="0.25">
      <c r="A25" s="14"/>
      <c r="B25" s="879"/>
      <c r="C25" s="880"/>
      <c r="D25" s="880"/>
      <c r="E25" s="880"/>
      <c r="F25" s="37" t="s">
        <v>46</v>
      </c>
      <c r="G25" s="38"/>
      <c r="H25" s="38"/>
      <c r="I25" s="39" t="e">
        <f>'2014 model'!V19*J36</f>
        <v>#DIV/0!</v>
      </c>
      <c r="J25" s="35"/>
      <c r="K25" s="35"/>
      <c r="L25" s="35"/>
      <c r="M25" s="35"/>
      <c r="N25" s="36"/>
      <c r="O25" s="35"/>
      <c r="P25" s="6"/>
      <c r="Q25" s="940" t="s">
        <v>326</v>
      </c>
      <c r="R25" s="217" t="s">
        <v>168</v>
      </c>
      <c r="S25" s="218" t="e">
        <f>W27/W23</f>
        <v>#DIV/0!</v>
      </c>
      <c r="T25" s="222"/>
      <c r="U25" s="220" t="s">
        <v>32</v>
      </c>
      <c r="V25" s="220"/>
      <c r="W25" s="221" t="e">
        <f>T10*R36</f>
        <v>#DIV/0!</v>
      </c>
      <c r="X25" s="6"/>
      <c r="Y25" s="6"/>
      <c r="Z25" s="14"/>
      <c r="AA25" s="14"/>
      <c r="AB25" s="14"/>
      <c r="AC25" s="14"/>
      <c r="AD25" s="14"/>
      <c r="AE25" s="14"/>
      <c r="AF25" s="14"/>
      <c r="AG25" s="14"/>
      <c r="AH25" s="14"/>
      <c r="AI25" s="14"/>
      <c r="AJ25" s="14"/>
      <c r="AK25" s="14"/>
      <c r="AL25" s="14"/>
      <c r="AM25" s="14"/>
      <c r="AN25" s="14"/>
      <c r="AO25" s="14"/>
      <c r="AP25" s="14"/>
      <c r="AR25" t="str">
        <f>IF(AR24&lt;$D$14,AR24+1,"")</f>
        <v/>
      </c>
      <c r="AS25" s="70">
        <f>IF(ISNUMBER(AR25),AV24,0)</f>
        <v>0</v>
      </c>
      <c r="AT25" s="70"/>
      <c r="AU25" s="70">
        <f t="shared" si="2"/>
        <v>0</v>
      </c>
      <c r="AV25" s="70">
        <f t="shared" si="6"/>
        <v>0</v>
      </c>
      <c r="AW25">
        <f t="shared" si="7"/>
        <v>0</v>
      </c>
      <c r="AX25" s="71">
        <f t="shared" si="0"/>
        <v>0</v>
      </c>
      <c r="AY25">
        <f t="shared" si="4"/>
        <v>0</v>
      </c>
      <c r="AZ25"/>
    </row>
    <row r="26" spans="1:53" ht="12" customHeight="1" thickBot="1" x14ac:dyDescent="0.3">
      <c r="A26" s="14"/>
      <c r="B26" s="794"/>
      <c r="C26" s="881"/>
      <c r="D26" s="881"/>
      <c r="E26" s="881"/>
      <c r="F26" s="15"/>
      <c r="G26" s="6"/>
      <c r="H26" s="6"/>
      <c r="I26" s="6"/>
      <c r="J26" s="6"/>
      <c r="K26" s="6"/>
      <c r="L26" s="6"/>
      <c r="M26" s="6"/>
      <c r="N26" s="12"/>
      <c r="O26" s="35"/>
      <c r="P26" s="6"/>
      <c r="Q26" s="941"/>
      <c r="R26" s="15"/>
      <c r="S26" s="6"/>
      <c r="T26" s="6"/>
      <c r="U26" s="220" t="s">
        <v>14</v>
      </c>
      <c r="V26" s="220"/>
      <c r="W26" s="221" t="e">
        <f>V19*R36</f>
        <v>#DIV/0!</v>
      </c>
      <c r="X26" s="14"/>
      <c r="Y26" s="14"/>
      <c r="Z26" s="14"/>
      <c r="AA26" s="14"/>
      <c r="AB26" s="14"/>
      <c r="AC26" s="14"/>
      <c r="AD26" s="14"/>
      <c r="AE26" s="14"/>
      <c r="AF26" s="14"/>
      <c r="AG26" s="14"/>
      <c r="AH26" s="14"/>
      <c r="AI26" s="14"/>
      <c r="AJ26" s="14"/>
      <c r="AK26" s="14"/>
      <c r="AL26" s="14"/>
      <c r="AM26" s="14"/>
      <c r="AN26" s="14"/>
      <c r="AO26" s="14"/>
      <c r="AP26" s="14"/>
      <c r="AR26" t="str">
        <f t="shared" si="1"/>
        <v/>
      </c>
      <c r="AS26" s="70">
        <f t="shared" si="5"/>
        <v>0</v>
      </c>
      <c r="AT26" s="70"/>
      <c r="AU26" s="70">
        <f t="shared" si="2"/>
        <v>0</v>
      </c>
      <c r="AV26" s="70">
        <f t="shared" si="6"/>
        <v>0</v>
      </c>
      <c r="AW26">
        <f t="shared" si="7"/>
        <v>0</v>
      </c>
      <c r="AX26" s="71">
        <f t="shared" si="0"/>
        <v>0</v>
      </c>
      <c r="AY26">
        <f t="shared" si="4"/>
        <v>0</v>
      </c>
      <c r="AZ26"/>
    </row>
    <row r="27" spans="1:53" ht="12.75" customHeight="1" x14ac:dyDescent="0.25">
      <c r="A27" s="14"/>
      <c r="B27" s="14"/>
      <c r="C27" s="14"/>
      <c r="D27" s="14"/>
      <c r="E27" s="6"/>
      <c r="F27" s="40" t="s">
        <v>327</v>
      </c>
      <c r="G27" s="41" t="e">
        <f>I21/I24</f>
        <v>#DIV/0!</v>
      </c>
      <c r="H27" s="42" t="s">
        <v>40</v>
      </c>
      <c r="I27" s="38"/>
      <c r="J27" s="38"/>
      <c r="K27" s="38"/>
      <c r="L27" s="38"/>
      <c r="M27" s="38"/>
      <c r="N27" s="43"/>
      <c r="O27" s="35"/>
      <c r="P27" s="6"/>
      <c r="Q27" s="941"/>
      <c r="R27" s="15"/>
      <c r="S27" s="6"/>
      <c r="T27" s="6"/>
      <c r="U27" s="220" t="s">
        <v>168</v>
      </c>
      <c r="V27" s="220"/>
      <c r="W27" s="221" t="e">
        <f>T11*R36</f>
        <v>#DIV/0!</v>
      </c>
      <c r="X27" s="14"/>
      <c r="Y27" s="14"/>
      <c r="Z27" s="14"/>
      <c r="AA27" s="14"/>
      <c r="AB27" s="14"/>
      <c r="AC27" s="14"/>
      <c r="AD27" s="14"/>
      <c r="AE27" s="14"/>
      <c r="AF27" s="14"/>
      <c r="AG27" s="14"/>
      <c r="AH27" s="14"/>
      <c r="AI27" s="14"/>
      <c r="AJ27" s="14"/>
      <c r="AK27" s="14"/>
      <c r="AL27" s="14"/>
      <c r="AM27" s="14"/>
      <c r="AN27" s="14"/>
      <c r="AO27" s="14"/>
      <c r="AP27" s="14"/>
      <c r="AR27" t="str">
        <f t="shared" si="1"/>
        <v/>
      </c>
      <c r="AS27" s="70">
        <f t="shared" si="5"/>
        <v>0</v>
      </c>
      <c r="AT27" s="70"/>
      <c r="AU27" s="70">
        <f t="shared" si="2"/>
        <v>0</v>
      </c>
      <c r="AV27" s="70">
        <f t="shared" si="6"/>
        <v>0</v>
      </c>
      <c r="AW27">
        <f t="shared" si="7"/>
        <v>0</v>
      </c>
      <c r="AX27" s="71">
        <f t="shared" si="0"/>
        <v>0</v>
      </c>
      <c r="AY27">
        <f t="shared" si="4"/>
        <v>0</v>
      </c>
      <c r="AZ27" s="90"/>
      <c r="BA27" s="14"/>
    </row>
    <row r="28" spans="1:53" s="14" customFormat="1" ht="14.45" customHeight="1" thickBot="1" x14ac:dyDescent="0.3">
      <c r="E28" s="6"/>
      <c r="F28" s="40" t="s">
        <v>41</v>
      </c>
      <c r="G28" s="41" t="e">
        <f>I22/I24</f>
        <v>#DIV/0!</v>
      </c>
      <c r="H28" s="42" t="s">
        <v>40</v>
      </c>
      <c r="I28" s="38"/>
      <c r="J28" s="38"/>
      <c r="K28" s="38"/>
      <c r="L28" s="38"/>
      <c r="M28" s="38"/>
      <c r="N28" s="43"/>
      <c r="O28" s="35"/>
      <c r="P28" s="6"/>
      <c r="Q28" s="942"/>
      <c r="R28" s="15"/>
      <c r="S28" s="6"/>
      <c r="T28" s="6"/>
      <c r="U28" s="6"/>
      <c r="V28" s="6"/>
      <c r="W28" s="12"/>
      <c r="AR28" t="str">
        <f t="shared" si="1"/>
        <v/>
      </c>
      <c r="AS28" s="70">
        <f t="shared" si="5"/>
        <v>0</v>
      </c>
      <c r="AT28" s="70"/>
      <c r="AU28" s="70">
        <f t="shared" si="2"/>
        <v>0</v>
      </c>
      <c r="AV28" s="70">
        <f t="shared" si="6"/>
        <v>0</v>
      </c>
      <c r="AW28">
        <f t="shared" si="7"/>
        <v>0</v>
      </c>
      <c r="AX28" s="71">
        <f t="shared" si="0"/>
        <v>0</v>
      </c>
      <c r="AY28">
        <f t="shared" si="4"/>
        <v>0</v>
      </c>
      <c r="AZ28"/>
      <c r="BA28" s="1"/>
    </row>
    <row r="29" spans="1:53" ht="13.7" customHeight="1" x14ac:dyDescent="0.25">
      <c r="A29" s="14"/>
      <c r="B29" s="14"/>
      <c r="C29" s="14"/>
      <c r="D29" s="14"/>
      <c r="E29" s="6"/>
      <c r="F29" s="40" t="s">
        <v>185</v>
      </c>
      <c r="G29" s="41" t="e">
        <f>I23/I24</f>
        <v>#DIV/0!</v>
      </c>
      <c r="H29" s="42" t="s">
        <v>40</v>
      </c>
      <c r="I29" s="38"/>
      <c r="J29" s="38"/>
      <c r="K29" s="38"/>
      <c r="L29" s="38"/>
      <c r="M29" s="38"/>
      <c r="N29" s="43"/>
      <c r="O29" s="35"/>
      <c r="P29" s="6"/>
      <c r="Q29" s="215"/>
      <c r="R29" s="943" t="s">
        <v>328</v>
      </c>
      <c r="S29" s="944"/>
      <c r="T29" s="944"/>
      <c r="U29" s="944"/>
      <c r="V29" s="944"/>
      <c r="W29" s="223" t="e">
        <f>W24-W23</f>
        <v>#DIV/0!</v>
      </c>
      <c r="X29" s="14"/>
      <c r="Y29" s="14"/>
      <c r="Z29" s="14"/>
      <c r="AA29" s="14"/>
      <c r="AB29" s="14"/>
      <c r="AC29" s="14"/>
      <c r="AD29" s="14"/>
      <c r="AE29" s="14"/>
      <c r="AF29" s="14"/>
      <c r="AG29" s="14"/>
      <c r="AH29" s="14"/>
      <c r="AI29" s="14"/>
      <c r="AJ29" s="14"/>
      <c r="AK29" s="14"/>
      <c r="AL29" s="14"/>
      <c r="AM29" s="14"/>
      <c r="AN29" s="14"/>
      <c r="AO29" s="14"/>
      <c r="AP29" s="14"/>
      <c r="AR29" t="str">
        <f t="shared" si="1"/>
        <v/>
      </c>
      <c r="AS29" s="70">
        <f t="shared" si="5"/>
        <v>0</v>
      </c>
      <c r="AT29" s="70"/>
      <c r="AU29" s="70">
        <f t="shared" si="2"/>
        <v>0</v>
      </c>
      <c r="AV29" s="70">
        <f t="shared" si="6"/>
        <v>0</v>
      </c>
      <c r="AW29">
        <f t="shared" si="7"/>
        <v>0</v>
      </c>
      <c r="AX29" s="71">
        <f t="shared" si="0"/>
        <v>0</v>
      </c>
      <c r="AY29">
        <f t="shared" si="4"/>
        <v>0</v>
      </c>
      <c r="AZ29"/>
    </row>
    <row r="30" spans="1:53" ht="13.5" customHeight="1" x14ac:dyDescent="0.25">
      <c r="A30" s="14"/>
      <c r="B30" s="14"/>
      <c r="C30" s="14"/>
      <c r="D30" s="14"/>
      <c r="E30" s="6"/>
      <c r="F30" s="15"/>
      <c r="G30" s="6"/>
      <c r="H30" s="6"/>
      <c r="I30" s="6"/>
      <c r="J30" s="35"/>
      <c r="K30" s="35"/>
      <c r="L30" s="35"/>
      <c r="M30" s="35"/>
      <c r="N30" s="36"/>
      <c r="O30" s="35"/>
      <c r="P30" s="6"/>
      <c r="Q30" s="215"/>
      <c r="R30" s="943" t="s">
        <v>329</v>
      </c>
      <c r="S30" s="944"/>
      <c r="T30" s="944"/>
      <c r="U30" s="944"/>
      <c r="V30" s="944"/>
      <c r="W30" s="223" t="e">
        <f>W25-W23</f>
        <v>#DIV/0!</v>
      </c>
      <c r="X30" s="14"/>
      <c r="Y30" s="14"/>
      <c r="Z30" s="14"/>
      <c r="AA30" s="14"/>
      <c r="AB30" s="14"/>
      <c r="AC30" s="14"/>
      <c r="AD30" s="14"/>
      <c r="AE30" s="14"/>
      <c r="AF30" s="14"/>
      <c r="AG30" s="14"/>
      <c r="AH30" s="14"/>
      <c r="AI30" s="14"/>
      <c r="AJ30" s="14"/>
      <c r="AK30" s="14"/>
      <c r="AL30" s="14"/>
      <c r="AM30" s="14"/>
      <c r="AN30" s="14"/>
      <c r="AO30" s="14"/>
      <c r="AP30" s="14"/>
      <c r="AR30" t="str">
        <f t="shared" si="1"/>
        <v/>
      </c>
      <c r="AS30" s="70">
        <f t="shared" si="5"/>
        <v>0</v>
      </c>
      <c r="AT30" s="70"/>
      <c r="AU30" s="70">
        <f t="shared" si="2"/>
        <v>0</v>
      </c>
      <c r="AV30" s="70">
        <f t="shared" si="6"/>
        <v>0</v>
      </c>
      <c r="AW30">
        <f>IF(ISNUMBER(AR33),SUM(AT30:AU30),SUM(AT30:AV30))</f>
        <v>0</v>
      </c>
      <c r="AX30" s="71">
        <f t="shared" si="0"/>
        <v>0</v>
      </c>
      <c r="AY30">
        <f t="shared" si="4"/>
        <v>0</v>
      </c>
      <c r="AZ30"/>
    </row>
    <row r="31" spans="1:53" ht="13.5" customHeight="1" thickBot="1" x14ac:dyDescent="0.3">
      <c r="A31" s="14"/>
      <c r="B31" s="14"/>
      <c r="C31" s="14"/>
      <c r="D31" s="14"/>
      <c r="E31" s="6"/>
      <c r="F31" s="865" t="s">
        <v>152</v>
      </c>
      <c r="G31" s="32" t="s">
        <v>33</v>
      </c>
      <c r="H31" s="33"/>
      <c r="I31" s="39" t="e">
        <f>1000/V14</f>
        <v>#DIV/0!</v>
      </c>
      <c r="J31" s="35"/>
      <c r="K31" s="35"/>
      <c r="L31" s="35"/>
      <c r="M31" s="35"/>
      <c r="N31" s="36"/>
      <c r="O31" s="35"/>
      <c r="P31" s="6"/>
      <c r="Q31" s="224"/>
      <c r="R31" s="946" t="s">
        <v>330</v>
      </c>
      <c r="S31" s="947"/>
      <c r="T31" s="947"/>
      <c r="U31" s="947"/>
      <c r="V31" s="947"/>
      <c r="W31" s="225" t="e">
        <f>W27-W23</f>
        <v>#DIV/0!</v>
      </c>
      <c r="X31" s="14"/>
      <c r="Y31" s="14"/>
      <c r="Z31" s="14"/>
      <c r="AA31" s="14"/>
      <c r="AB31" s="14"/>
      <c r="AC31" s="14"/>
      <c r="AD31" s="14"/>
      <c r="AE31" s="14"/>
      <c r="AF31" s="14"/>
      <c r="AG31" s="14"/>
      <c r="AH31" s="14"/>
      <c r="AI31" s="14"/>
      <c r="AJ31" s="14"/>
      <c r="AK31" s="14"/>
      <c r="AL31" s="14"/>
      <c r="AM31" s="14"/>
      <c r="AN31" s="14"/>
      <c r="AO31" s="14"/>
      <c r="AP31" s="14"/>
      <c r="AR31"/>
      <c r="AS31" s="70"/>
      <c r="AT31" s="70"/>
      <c r="AU31" s="70"/>
      <c r="AV31" s="70"/>
      <c r="AW31"/>
      <c r="AX31" s="71"/>
      <c r="AY31"/>
      <c r="AZ31"/>
    </row>
    <row r="32" spans="1:53" ht="13.5" customHeight="1" x14ac:dyDescent="0.25">
      <c r="A32" s="14"/>
      <c r="B32" s="14"/>
      <c r="C32" s="14"/>
      <c r="D32" s="14"/>
      <c r="E32" s="6"/>
      <c r="F32" s="865"/>
      <c r="G32" s="32" t="s">
        <v>32</v>
      </c>
      <c r="H32" s="33"/>
      <c r="I32" s="39" t="e">
        <f>1000/V15</f>
        <v>#DIV/0!</v>
      </c>
      <c r="J32" s="35"/>
      <c r="K32" s="35"/>
      <c r="L32" s="35"/>
      <c r="M32" s="35"/>
      <c r="N32" s="36"/>
      <c r="O32" s="35"/>
      <c r="P32" s="6"/>
      <c r="Q32" s="87"/>
      <c r="R32" s="88"/>
      <c r="S32" s="88"/>
      <c r="T32" s="88"/>
      <c r="U32" s="88"/>
      <c r="V32" s="88"/>
      <c r="W32" s="89"/>
      <c r="X32" s="14"/>
      <c r="Y32" s="14"/>
      <c r="Z32" s="14"/>
      <c r="AA32" s="14"/>
      <c r="AB32" s="14"/>
      <c r="AC32" s="14"/>
      <c r="AD32" s="14"/>
      <c r="AE32" s="14"/>
      <c r="AF32" s="14"/>
      <c r="AG32" s="14"/>
      <c r="AH32" s="14"/>
      <c r="AI32" s="14"/>
      <c r="AJ32" s="14"/>
      <c r="AK32" s="14"/>
      <c r="AL32" s="14"/>
      <c r="AM32" s="14"/>
      <c r="AN32" s="14"/>
      <c r="AO32" s="14"/>
      <c r="AP32" s="14"/>
      <c r="AR32"/>
      <c r="AS32" s="70"/>
      <c r="AT32" s="70"/>
      <c r="AU32" s="70"/>
      <c r="AV32" s="70"/>
      <c r="AW32"/>
      <c r="AX32" s="71"/>
      <c r="AY32"/>
      <c r="AZ32"/>
    </row>
    <row r="33" spans="1:52" ht="13.7" customHeight="1" thickBot="1" x14ac:dyDescent="0.3">
      <c r="A33" s="14"/>
      <c r="B33" s="14"/>
      <c r="C33" s="14"/>
      <c r="D33" s="14"/>
      <c r="E33" s="14"/>
      <c r="F33" s="945"/>
      <c r="G33" s="91" t="s">
        <v>168</v>
      </c>
      <c r="H33" s="92"/>
      <c r="I33" s="93" t="e">
        <f>1000/V16</f>
        <v>#DIV/0!</v>
      </c>
      <c r="J33" s="7"/>
      <c r="K33" s="7"/>
      <c r="L33" s="7"/>
      <c r="M33" s="7"/>
      <c r="N33" s="141"/>
      <c r="O33" s="14"/>
      <c r="P33" s="14"/>
      <c r="Q33" s="87"/>
      <c r="R33" s="88"/>
      <c r="S33" s="88"/>
      <c r="T33" s="88"/>
      <c r="U33" s="88"/>
      <c r="V33" s="88"/>
      <c r="W33" s="89"/>
      <c r="X33" s="14"/>
      <c r="Y33" s="14"/>
      <c r="Z33" s="14"/>
      <c r="AA33" s="14"/>
      <c r="AB33" s="14"/>
      <c r="AC33" s="14"/>
      <c r="AD33" s="14"/>
      <c r="AE33" s="14"/>
      <c r="AF33" s="14"/>
      <c r="AG33" s="14"/>
      <c r="AH33" s="14"/>
      <c r="AI33" s="14"/>
      <c r="AJ33" s="14"/>
      <c r="AK33" s="14"/>
      <c r="AL33" s="14"/>
      <c r="AM33" s="14"/>
      <c r="AN33" s="14"/>
      <c r="AO33" s="14"/>
      <c r="AP33" s="14"/>
      <c r="AR33" t="str">
        <f>IF(AR30&lt;$D$14,AR30+1,"")</f>
        <v/>
      </c>
      <c r="AS33" s="70">
        <f>IF(ISNUMBER(AR33),AV30,0)</f>
        <v>0</v>
      </c>
      <c r="AT33" s="70"/>
      <c r="AU33" s="70">
        <f t="shared" si="2"/>
        <v>0</v>
      </c>
      <c r="AV33" s="70">
        <f t="shared" si="6"/>
        <v>0</v>
      </c>
      <c r="AW33">
        <f t="shared" si="7"/>
        <v>0</v>
      </c>
      <c r="AX33" s="71">
        <f>LN(AW33+$J$36)-LN($J$36)</f>
        <v>0</v>
      </c>
      <c r="AY33">
        <f t="shared" si="4"/>
        <v>0</v>
      </c>
    </row>
    <row r="34" spans="1:52" ht="51" customHeight="1" thickBot="1" x14ac:dyDescent="0.3">
      <c r="B34" s="14"/>
      <c r="C34" s="14"/>
      <c r="D34" s="14"/>
      <c r="E34" s="14"/>
      <c r="F34" s="14"/>
      <c r="G34" s="14"/>
      <c r="H34" s="14"/>
      <c r="I34" s="14"/>
      <c r="J34" s="14"/>
      <c r="K34" s="14"/>
      <c r="L34" s="14"/>
      <c r="M34" s="14"/>
      <c r="N34" s="14"/>
      <c r="O34" s="14"/>
      <c r="P34" s="14"/>
      <c r="Q34" s="87"/>
      <c r="R34" s="88"/>
      <c r="S34" s="88"/>
      <c r="T34" s="88"/>
      <c r="U34" s="88"/>
      <c r="V34" s="88"/>
      <c r="W34" s="89"/>
      <c r="X34" s="14"/>
      <c r="Y34" s="14"/>
      <c r="Z34" s="14"/>
      <c r="AA34" s="14"/>
      <c r="AB34" s="14"/>
      <c r="AC34" s="14"/>
      <c r="AD34" s="14"/>
      <c r="AE34" s="14"/>
      <c r="AF34" s="14"/>
      <c r="AG34" s="14"/>
      <c r="AH34" s="14"/>
      <c r="AI34" s="14"/>
      <c r="AJ34" s="14"/>
      <c r="AK34" s="14"/>
      <c r="AL34" s="14"/>
      <c r="AM34" s="14"/>
      <c r="AQ34"/>
      <c r="AR34" t="str">
        <f t="shared" si="1"/>
        <v/>
      </c>
      <c r="AS34" s="70">
        <f t="shared" si="5"/>
        <v>0</v>
      </c>
      <c r="AT34" s="70"/>
      <c r="AU34" s="70">
        <f t="shared" si="2"/>
        <v>0</v>
      </c>
      <c r="AV34" s="70">
        <f t="shared" si="6"/>
        <v>0</v>
      </c>
      <c r="AW34">
        <f t="shared" si="7"/>
        <v>0</v>
      </c>
      <c r="AX34" s="71">
        <f>LN(AW34+$J$36)-LN($J$36)</f>
        <v>0</v>
      </c>
      <c r="AY34">
        <f t="shared" si="4"/>
        <v>0</v>
      </c>
    </row>
    <row r="35" spans="1:52" ht="31.5" customHeight="1" x14ac:dyDescent="0.25">
      <c r="A35" s="14"/>
      <c r="B35" s="900" t="s">
        <v>29</v>
      </c>
      <c r="C35" s="16"/>
      <c r="D35" s="958" t="s">
        <v>24</v>
      </c>
      <c r="E35" s="948"/>
      <c r="F35" s="959"/>
      <c r="G35" s="18" t="s">
        <v>16</v>
      </c>
      <c r="H35" s="906" t="s">
        <v>27</v>
      </c>
      <c r="I35" s="907"/>
      <c r="J35" s="958" t="s">
        <v>26</v>
      </c>
      <c r="K35" s="948"/>
      <c r="L35" s="948"/>
      <c r="M35" s="948"/>
      <c r="N35" s="959"/>
      <c r="O35" s="958" t="s">
        <v>17</v>
      </c>
      <c r="P35" s="959"/>
      <c r="Q35" s="194" t="s">
        <v>18</v>
      </c>
      <c r="R35" s="78" t="s">
        <v>147</v>
      </c>
      <c r="S35" s="207" t="s">
        <v>25</v>
      </c>
      <c r="T35" s="208"/>
      <c r="U35" s="78" t="s">
        <v>141</v>
      </c>
      <c r="V35" s="78" t="s">
        <v>179</v>
      </c>
      <c r="W35" s="84" t="s">
        <v>182</v>
      </c>
      <c r="X35" s="14"/>
      <c r="Y35" s="14"/>
      <c r="Z35" s="14"/>
      <c r="AA35" s="14"/>
      <c r="AB35" s="14"/>
      <c r="AC35" s="14"/>
      <c r="AD35" s="14"/>
      <c r="AE35" s="14"/>
      <c r="AF35" s="14"/>
      <c r="AG35" s="14"/>
      <c r="AH35" s="14"/>
      <c r="AI35" s="14"/>
      <c r="AJ35" s="14"/>
      <c r="AK35" s="14"/>
      <c r="AL35" s="14"/>
      <c r="AM35" s="14"/>
      <c r="AQ35"/>
      <c r="AR35" t="str">
        <f t="shared" si="1"/>
        <v/>
      </c>
      <c r="AS35" s="70">
        <f t="shared" si="5"/>
        <v>0</v>
      </c>
      <c r="AT35" s="70"/>
      <c r="AU35" s="70">
        <f t="shared" si="2"/>
        <v>0</v>
      </c>
      <c r="AV35" s="70">
        <f t="shared" si="6"/>
        <v>0</v>
      </c>
      <c r="AW35">
        <f t="shared" si="7"/>
        <v>0</v>
      </c>
      <c r="AX35" s="71">
        <f>LN(AW35+$J$36)-LN($J$36)</f>
        <v>0</v>
      </c>
      <c r="AY35">
        <f t="shared" si="4"/>
        <v>0</v>
      </c>
      <c r="AZ35"/>
    </row>
    <row r="36" spans="1:52" ht="12" customHeight="1" x14ac:dyDescent="0.25">
      <c r="A36" s="14"/>
      <c r="B36" s="956"/>
      <c r="C36" s="19" t="s">
        <v>20</v>
      </c>
      <c r="D36" s="960">
        <v>0.253</v>
      </c>
      <c r="E36" s="961"/>
      <c r="F36" s="962"/>
      <c r="G36" s="25">
        <v>2.41</v>
      </c>
      <c r="H36" s="911">
        <v>4.7</v>
      </c>
      <c r="I36" s="912"/>
      <c r="J36" s="913">
        <v>285.92</v>
      </c>
      <c r="K36" s="914"/>
      <c r="L36" s="914"/>
      <c r="M36" s="914"/>
      <c r="N36" s="915"/>
      <c r="O36" s="876">
        <v>1000</v>
      </c>
      <c r="P36" s="877"/>
      <c r="Q36" s="77">
        <v>288</v>
      </c>
      <c r="R36" s="79">
        <f>Bednets!$G$44</f>
        <v>3460.5326115592329</v>
      </c>
      <c r="S36" s="226">
        <f>Bednets!$G$43</f>
        <v>3.8550856953969204</v>
      </c>
      <c r="T36" s="209"/>
      <c r="U36" s="144">
        <f>AVERAGE(36.46,36.59)</f>
        <v>36.525000000000006</v>
      </c>
      <c r="V36" s="144">
        <v>15</v>
      </c>
      <c r="W36" s="133">
        <v>0.43099999999999999</v>
      </c>
      <c r="X36" s="14"/>
      <c r="Y36" s="6"/>
      <c r="Z36" s="14"/>
      <c r="AA36" s="14"/>
      <c r="AB36" s="14"/>
      <c r="AC36" s="14"/>
      <c r="AD36" s="14"/>
      <c r="AE36" s="14"/>
      <c r="AF36" s="14"/>
      <c r="AG36" s="14"/>
      <c r="AH36" s="14"/>
      <c r="AI36" s="14"/>
      <c r="AJ36" s="14"/>
      <c r="AK36" s="14"/>
      <c r="AL36" s="14"/>
      <c r="AM36" s="14"/>
      <c r="AN36" s="14"/>
      <c r="AR36" t="str">
        <f t="shared" si="1"/>
        <v/>
      </c>
      <c r="AS36" s="70">
        <f t="shared" si="5"/>
        <v>0</v>
      </c>
      <c r="AT36" s="70"/>
      <c r="AU36" s="70">
        <f t="shared" si="2"/>
        <v>0</v>
      </c>
      <c r="AV36" s="70">
        <f t="shared" si="6"/>
        <v>0</v>
      </c>
      <c r="AW36">
        <f t="shared" si="7"/>
        <v>0</v>
      </c>
      <c r="AX36" s="71">
        <f>LN(AW36+$J$36)-LN($J$36)</f>
        <v>0</v>
      </c>
      <c r="AY36">
        <f t="shared" si="4"/>
        <v>0</v>
      </c>
      <c r="AZ36"/>
    </row>
    <row r="37" spans="1:52" ht="12" customHeight="1" thickBot="1" x14ac:dyDescent="0.3">
      <c r="A37" s="14"/>
      <c r="B37" s="957"/>
      <c r="C37" s="20" t="s">
        <v>21</v>
      </c>
      <c r="D37" s="887" t="s">
        <v>22</v>
      </c>
      <c r="E37" s="888"/>
      <c r="F37" s="888"/>
      <c r="G37" s="889"/>
      <c r="H37" s="953" t="s">
        <v>23</v>
      </c>
      <c r="I37" s="954"/>
      <c r="J37" s="954"/>
      <c r="K37" s="954"/>
      <c r="L37" s="954"/>
      <c r="M37" s="954"/>
      <c r="N37" s="954"/>
      <c r="O37" s="954"/>
      <c r="P37" s="954"/>
      <c r="Q37" s="955"/>
      <c r="R37" s="887" t="s">
        <v>122</v>
      </c>
      <c r="S37" s="888"/>
      <c r="T37" s="889"/>
      <c r="U37" s="145" t="s">
        <v>331</v>
      </c>
      <c r="V37" s="146" t="s">
        <v>180</v>
      </c>
      <c r="W37" s="147" t="s">
        <v>220</v>
      </c>
      <c r="X37" s="14"/>
      <c r="Y37" s="6"/>
      <c r="Z37" s="14"/>
      <c r="AA37" s="14"/>
      <c r="AB37" s="14"/>
      <c r="AC37" s="14"/>
      <c r="AD37" s="14"/>
      <c r="AE37" s="14"/>
      <c r="AF37" s="14"/>
      <c r="AG37" s="14"/>
      <c r="AH37" s="14"/>
      <c r="AI37" s="14"/>
      <c r="AJ37" s="14"/>
      <c r="AK37" s="14"/>
      <c r="AL37" s="14"/>
      <c r="AM37" s="14"/>
      <c r="AN37" s="14"/>
      <c r="AO37" s="14"/>
      <c r="AP37" s="14"/>
      <c r="AR37" t="str">
        <f t="shared" si="1"/>
        <v/>
      </c>
      <c r="AS37" s="70">
        <f t="shared" si="5"/>
        <v>0</v>
      </c>
      <c r="AT37" s="70"/>
      <c r="AU37" s="70">
        <f t="shared" si="2"/>
        <v>0</v>
      </c>
      <c r="AV37" s="70">
        <f t="shared" si="6"/>
        <v>0</v>
      </c>
      <c r="AW37">
        <f t="shared" si="7"/>
        <v>0</v>
      </c>
      <c r="AX37" s="71">
        <f>LN(AW37+$J$36)-LN($J$36)</f>
        <v>0</v>
      </c>
      <c r="AY37">
        <f t="shared" si="4"/>
        <v>0</v>
      </c>
      <c r="AZ37"/>
    </row>
    <row r="38" spans="1:52" s="14" customFormat="1" ht="15" x14ac:dyDescent="0.25">
      <c r="J38" s="120"/>
      <c r="K38" s="120"/>
      <c r="L38" s="120"/>
      <c r="M38" s="120"/>
      <c r="Y38" s="6"/>
      <c r="AR38" s="90" t="str">
        <f t="shared" si="1"/>
        <v/>
      </c>
      <c r="AS38" s="142">
        <f t="shared" si="5"/>
        <v>0</v>
      </c>
      <c r="AT38" s="142"/>
      <c r="AU38" s="142">
        <f t="shared" si="2"/>
        <v>0</v>
      </c>
      <c r="AV38" s="142">
        <f t="shared" si="6"/>
        <v>0</v>
      </c>
      <c r="AW38" s="90">
        <f t="shared" si="7"/>
        <v>0</v>
      </c>
      <c r="AX38" s="143">
        <f t="shared" ref="AX38:AX101" si="8">LN(AW38+$J$36)-LN($J$36)</f>
        <v>0</v>
      </c>
      <c r="AY38" s="90">
        <f t="shared" si="4"/>
        <v>0</v>
      </c>
      <c r="AZ38" s="90"/>
    </row>
    <row r="39" spans="1:52" s="14" customFormat="1" ht="15" x14ac:dyDescent="0.25">
      <c r="AR39" s="90" t="str">
        <f t="shared" si="1"/>
        <v/>
      </c>
      <c r="AS39" s="142">
        <f t="shared" si="5"/>
        <v>0</v>
      </c>
      <c r="AT39" s="142"/>
      <c r="AU39" s="142">
        <f t="shared" si="2"/>
        <v>0</v>
      </c>
      <c r="AV39" s="142">
        <f t="shared" si="6"/>
        <v>0</v>
      </c>
      <c r="AW39" s="90">
        <f t="shared" si="7"/>
        <v>0</v>
      </c>
      <c r="AX39" s="143">
        <f t="shared" si="8"/>
        <v>0</v>
      </c>
      <c r="AY39" s="90">
        <f t="shared" si="4"/>
        <v>0</v>
      </c>
      <c r="AZ39" s="90"/>
    </row>
    <row r="40" spans="1:52" s="14" customFormat="1" ht="15" x14ac:dyDescent="0.25">
      <c r="AR40" s="90" t="str">
        <f t="shared" si="1"/>
        <v/>
      </c>
      <c r="AS40" s="142">
        <f t="shared" si="5"/>
        <v>0</v>
      </c>
      <c r="AT40" s="142"/>
      <c r="AU40" s="142">
        <f t="shared" si="2"/>
        <v>0</v>
      </c>
      <c r="AV40" s="142">
        <f t="shared" si="6"/>
        <v>0</v>
      </c>
      <c r="AW40" s="90">
        <f t="shared" si="7"/>
        <v>0</v>
      </c>
      <c r="AX40" s="143">
        <f t="shared" si="8"/>
        <v>0</v>
      </c>
      <c r="AY40" s="90">
        <f t="shared" si="4"/>
        <v>0</v>
      </c>
      <c r="AZ40" s="90"/>
    </row>
    <row r="41" spans="1:52" s="14" customFormat="1" ht="15" x14ac:dyDescent="0.25">
      <c r="AR41" s="90" t="str">
        <f t="shared" si="1"/>
        <v/>
      </c>
      <c r="AS41" s="142">
        <f t="shared" si="5"/>
        <v>0</v>
      </c>
      <c r="AT41" s="142"/>
      <c r="AU41" s="142">
        <f t="shared" si="2"/>
        <v>0</v>
      </c>
      <c r="AV41" s="142">
        <f t="shared" si="6"/>
        <v>0</v>
      </c>
      <c r="AW41" s="90">
        <f t="shared" si="7"/>
        <v>0</v>
      </c>
      <c r="AX41" s="143">
        <f t="shared" si="8"/>
        <v>0</v>
      </c>
      <c r="AY41" s="90">
        <f t="shared" si="4"/>
        <v>0</v>
      </c>
      <c r="AZ41" s="90"/>
    </row>
    <row r="42" spans="1:52" s="14" customFormat="1" ht="15" x14ac:dyDescent="0.25">
      <c r="AR42" s="90" t="str">
        <f t="shared" si="1"/>
        <v/>
      </c>
      <c r="AS42" s="142">
        <f t="shared" si="5"/>
        <v>0</v>
      </c>
      <c r="AT42" s="142"/>
      <c r="AU42" s="142">
        <f t="shared" si="2"/>
        <v>0</v>
      </c>
      <c r="AV42" s="142">
        <f t="shared" si="6"/>
        <v>0</v>
      </c>
      <c r="AW42" s="90">
        <f t="shared" si="7"/>
        <v>0</v>
      </c>
      <c r="AX42" s="143">
        <f t="shared" si="8"/>
        <v>0</v>
      </c>
      <c r="AY42" s="90">
        <f t="shared" si="4"/>
        <v>0</v>
      </c>
      <c r="AZ42" s="90"/>
    </row>
    <row r="43" spans="1:52" s="14" customFormat="1" ht="15" x14ac:dyDescent="0.25">
      <c r="AR43" s="90" t="str">
        <f t="shared" si="1"/>
        <v/>
      </c>
      <c r="AS43" s="142">
        <f t="shared" si="5"/>
        <v>0</v>
      </c>
      <c r="AT43" s="142"/>
      <c r="AU43" s="142">
        <f t="shared" si="2"/>
        <v>0</v>
      </c>
      <c r="AV43" s="142">
        <f t="shared" si="6"/>
        <v>0</v>
      </c>
      <c r="AW43" s="90">
        <f t="shared" si="7"/>
        <v>0</v>
      </c>
      <c r="AX43" s="143">
        <f t="shared" si="8"/>
        <v>0</v>
      </c>
      <c r="AY43" s="90">
        <f t="shared" si="4"/>
        <v>0</v>
      </c>
      <c r="AZ43" s="90"/>
    </row>
    <row r="44" spans="1:52" s="14" customFormat="1" ht="15" x14ac:dyDescent="0.25">
      <c r="AR44" s="90" t="str">
        <f t="shared" si="1"/>
        <v/>
      </c>
      <c r="AS44" s="142">
        <f t="shared" si="5"/>
        <v>0</v>
      </c>
      <c r="AT44" s="142"/>
      <c r="AU44" s="142">
        <f t="shared" si="2"/>
        <v>0</v>
      </c>
      <c r="AV44" s="142">
        <f t="shared" si="6"/>
        <v>0</v>
      </c>
      <c r="AW44" s="90">
        <f t="shared" si="7"/>
        <v>0</v>
      </c>
      <c r="AX44" s="143">
        <f t="shared" si="8"/>
        <v>0</v>
      </c>
      <c r="AY44" s="90">
        <f t="shared" si="4"/>
        <v>0</v>
      </c>
      <c r="AZ44" s="90"/>
    </row>
    <row r="45" spans="1:52" s="14" customFormat="1" ht="15" x14ac:dyDescent="0.25">
      <c r="AR45" s="90" t="str">
        <f t="shared" si="1"/>
        <v/>
      </c>
      <c r="AS45" s="142">
        <f t="shared" si="5"/>
        <v>0</v>
      </c>
      <c r="AT45" s="142"/>
      <c r="AU45" s="142">
        <f t="shared" si="2"/>
        <v>0</v>
      </c>
      <c r="AV45" s="142">
        <f t="shared" si="6"/>
        <v>0</v>
      </c>
      <c r="AW45" s="90">
        <f t="shared" si="7"/>
        <v>0</v>
      </c>
      <c r="AX45" s="143">
        <f t="shared" si="8"/>
        <v>0</v>
      </c>
      <c r="AY45" s="90">
        <f t="shared" si="4"/>
        <v>0</v>
      </c>
      <c r="AZ45" s="90"/>
    </row>
    <row r="46" spans="1:52" s="14" customFormat="1" ht="15" x14ac:dyDescent="0.25">
      <c r="AR46" s="90" t="str">
        <f t="shared" si="1"/>
        <v/>
      </c>
      <c r="AS46" s="142">
        <f t="shared" si="5"/>
        <v>0</v>
      </c>
      <c r="AT46" s="142"/>
      <c r="AU46" s="142">
        <f t="shared" si="2"/>
        <v>0</v>
      </c>
      <c r="AV46" s="142">
        <f t="shared" si="6"/>
        <v>0</v>
      </c>
      <c r="AW46" s="90">
        <f t="shared" si="7"/>
        <v>0</v>
      </c>
      <c r="AX46" s="143">
        <f t="shared" si="8"/>
        <v>0</v>
      </c>
      <c r="AY46" s="90">
        <f t="shared" si="4"/>
        <v>0</v>
      </c>
      <c r="AZ46" s="90"/>
    </row>
    <row r="47" spans="1:52" s="14" customFormat="1" ht="15" x14ac:dyDescent="0.25">
      <c r="AR47" s="90" t="str">
        <f t="shared" si="1"/>
        <v/>
      </c>
      <c r="AS47" s="142">
        <f t="shared" si="5"/>
        <v>0</v>
      </c>
      <c r="AT47" s="142"/>
      <c r="AU47" s="142">
        <f t="shared" si="2"/>
        <v>0</v>
      </c>
      <c r="AV47" s="142">
        <f t="shared" si="6"/>
        <v>0</v>
      </c>
      <c r="AW47" s="90">
        <f t="shared" si="7"/>
        <v>0</v>
      </c>
      <c r="AX47" s="143">
        <f t="shared" si="8"/>
        <v>0</v>
      </c>
      <c r="AY47" s="90">
        <f t="shared" si="4"/>
        <v>0</v>
      </c>
      <c r="AZ47" s="90"/>
    </row>
    <row r="48" spans="1:52" s="14" customFormat="1" ht="15" x14ac:dyDescent="0.25">
      <c r="AR48" s="90" t="str">
        <f t="shared" si="1"/>
        <v/>
      </c>
      <c r="AS48" s="142">
        <f t="shared" si="5"/>
        <v>0</v>
      </c>
      <c r="AT48" s="142"/>
      <c r="AU48" s="142">
        <f t="shared" si="2"/>
        <v>0</v>
      </c>
      <c r="AV48" s="142">
        <f t="shared" si="6"/>
        <v>0</v>
      </c>
      <c r="AW48" s="90">
        <f t="shared" si="7"/>
        <v>0</v>
      </c>
      <c r="AX48" s="143">
        <f t="shared" si="8"/>
        <v>0</v>
      </c>
      <c r="AY48" s="90">
        <f t="shared" si="4"/>
        <v>0</v>
      </c>
      <c r="AZ48" s="90"/>
    </row>
    <row r="49" spans="44:52" s="14" customFormat="1" ht="15" x14ac:dyDescent="0.25">
      <c r="AR49" s="90" t="str">
        <f t="shared" si="1"/>
        <v/>
      </c>
      <c r="AS49" s="142">
        <f t="shared" si="5"/>
        <v>0</v>
      </c>
      <c r="AT49" s="142"/>
      <c r="AU49" s="142">
        <f t="shared" si="2"/>
        <v>0</v>
      </c>
      <c r="AV49" s="142">
        <f t="shared" si="6"/>
        <v>0</v>
      </c>
      <c r="AW49" s="90">
        <f t="shared" si="7"/>
        <v>0</v>
      </c>
      <c r="AX49" s="143">
        <f t="shared" si="8"/>
        <v>0</v>
      </c>
      <c r="AY49" s="90">
        <f t="shared" si="4"/>
        <v>0</v>
      </c>
      <c r="AZ49" s="90"/>
    </row>
    <row r="50" spans="44:52" s="14" customFormat="1" ht="15" x14ac:dyDescent="0.25">
      <c r="AR50" s="90" t="str">
        <f t="shared" si="1"/>
        <v/>
      </c>
      <c r="AS50" s="142">
        <f t="shared" si="5"/>
        <v>0</v>
      </c>
      <c r="AT50" s="142"/>
      <c r="AU50" s="142">
        <f t="shared" si="2"/>
        <v>0</v>
      </c>
      <c r="AV50" s="142">
        <f t="shared" si="6"/>
        <v>0</v>
      </c>
      <c r="AW50" s="90">
        <f t="shared" si="7"/>
        <v>0</v>
      </c>
      <c r="AX50" s="143">
        <f t="shared" si="8"/>
        <v>0</v>
      </c>
      <c r="AY50" s="90">
        <f t="shared" si="4"/>
        <v>0</v>
      </c>
      <c r="AZ50" s="90"/>
    </row>
    <row r="51" spans="44:52" s="14" customFormat="1" ht="15" x14ac:dyDescent="0.25">
      <c r="AR51" s="90" t="str">
        <f t="shared" si="1"/>
        <v/>
      </c>
      <c r="AS51" s="142">
        <f t="shared" si="5"/>
        <v>0</v>
      </c>
      <c r="AT51" s="142"/>
      <c r="AU51" s="142">
        <f t="shared" si="2"/>
        <v>0</v>
      </c>
      <c r="AV51" s="142">
        <f t="shared" si="6"/>
        <v>0</v>
      </c>
      <c r="AW51" s="90">
        <f t="shared" si="7"/>
        <v>0</v>
      </c>
      <c r="AX51" s="143">
        <f t="shared" si="8"/>
        <v>0</v>
      </c>
      <c r="AY51" s="90">
        <f t="shared" si="4"/>
        <v>0</v>
      </c>
      <c r="AZ51" s="90"/>
    </row>
    <row r="52" spans="44:52" s="14" customFormat="1" ht="15" x14ac:dyDescent="0.25">
      <c r="AR52" s="90" t="str">
        <f t="shared" si="1"/>
        <v/>
      </c>
      <c r="AS52" s="142">
        <f t="shared" si="5"/>
        <v>0</v>
      </c>
      <c r="AT52" s="142"/>
      <c r="AU52" s="142">
        <f t="shared" si="2"/>
        <v>0</v>
      </c>
      <c r="AV52" s="142">
        <f t="shared" si="6"/>
        <v>0</v>
      </c>
      <c r="AW52" s="90">
        <f t="shared" si="7"/>
        <v>0</v>
      </c>
      <c r="AX52" s="143">
        <f t="shared" si="8"/>
        <v>0</v>
      </c>
      <c r="AY52" s="90">
        <f t="shared" si="4"/>
        <v>0</v>
      </c>
      <c r="AZ52" s="90"/>
    </row>
    <row r="53" spans="44:52" s="14" customFormat="1" ht="15" x14ac:dyDescent="0.25">
      <c r="AR53" s="90" t="str">
        <f t="shared" si="1"/>
        <v/>
      </c>
      <c r="AS53" s="142">
        <f t="shared" si="5"/>
        <v>0</v>
      </c>
      <c r="AT53" s="142"/>
      <c r="AU53" s="142">
        <f t="shared" si="2"/>
        <v>0</v>
      </c>
      <c r="AV53" s="142">
        <f t="shared" si="6"/>
        <v>0</v>
      </c>
      <c r="AW53" s="90">
        <f t="shared" si="7"/>
        <v>0</v>
      </c>
      <c r="AX53" s="143">
        <f t="shared" si="8"/>
        <v>0</v>
      </c>
      <c r="AY53" s="90">
        <f t="shared" si="4"/>
        <v>0</v>
      </c>
      <c r="AZ53" s="90"/>
    </row>
    <row r="54" spans="44:52" s="14" customFormat="1" ht="15" x14ac:dyDescent="0.25">
      <c r="AR54" s="90" t="str">
        <f t="shared" si="1"/>
        <v/>
      </c>
      <c r="AS54" s="142">
        <f t="shared" si="5"/>
        <v>0</v>
      </c>
      <c r="AT54" s="142"/>
      <c r="AU54" s="142">
        <f t="shared" si="2"/>
        <v>0</v>
      </c>
      <c r="AV54" s="142">
        <f t="shared" si="6"/>
        <v>0</v>
      </c>
      <c r="AW54" s="90">
        <f t="shared" si="7"/>
        <v>0</v>
      </c>
      <c r="AX54" s="143">
        <f t="shared" si="8"/>
        <v>0</v>
      </c>
      <c r="AY54" s="90">
        <f t="shared" si="4"/>
        <v>0</v>
      </c>
      <c r="AZ54" s="90"/>
    </row>
    <row r="55" spans="44:52" s="14" customFormat="1" ht="15" x14ac:dyDescent="0.25">
      <c r="AR55" s="90" t="str">
        <f t="shared" si="1"/>
        <v/>
      </c>
      <c r="AS55" s="142">
        <f t="shared" si="5"/>
        <v>0</v>
      </c>
      <c r="AT55" s="142"/>
      <c r="AU55" s="142">
        <f t="shared" si="2"/>
        <v>0</v>
      </c>
      <c r="AV55" s="142">
        <f t="shared" si="6"/>
        <v>0</v>
      </c>
      <c r="AW55" s="90">
        <f t="shared" si="7"/>
        <v>0</v>
      </c>
      <c r="AX55" s="143">
        <f t="shared" si="8"/>
        <v>0</v>
      </c>
      <c r="AY55" s="90">
        <f t="shared" si="4"/>
        <v>0</v>
      </c>
      <c r="AZ55" s="90"/>
    </row>
    <row r="56" spans="44:52" s="14" customFormat="1" ht="15" x14ac:dyDescent="0.25">
      <c r="AR56" s="90" t="str">
        <f t="shared" si="1"/>
        <v/>
      </c>
      <c r="AS56" s="142">
        <f t="shared" si="5"/>
        <v>0</v>
      </c>
      <c r="AT56" s="142"/>
      <c r="AU56" s="142">
        <f t="shared" si="2"/>
        <v>0</v>
      </c>
      <c r="AV56" s="142">
        <f t="shared" si="6"/>
        <v>0</v>
      </c>
      <c r="AW56" s="90">
        <f t="shared" si="7"/>
        <v>0</v>
      </c>
      <c r="AX56" s="143">
        <f t="shared" si="8"/>
        <v>0</v>
      </c>
      <c r="AY56" s="90">
        <f t="shared" si="4"/>
        <v>0</v>
      </c>
      <c r="AZ56" s="90"/>
    </row>
    <row r="57" spans="44:52" s="14" customFormat="1" ht="15" x14ac:dyDescent="0.25">
      <c r="AR57" s="90" t="str">
        <f t="shared" si="1"/>
        <v/>
      </c>
      <c r="AS57" s="142">
        <f t="shared" si="5"/>
        <v>0</v>
      </c>
      <c r="AT57" s="142"/>
      <c r="AU57" s="142">
        <f t="shared" si="2"/>
        <v>0</v>
      </c>
      <c r="AV57" s="142">
        <f t="shared" si="6"/>
        <v>0</v>
      </c>
      <c r="AW57" s="90">
        <f t="shared" si="7"/>
        <v>0</v>
      </c>
      <c r="AX57" s="143">
        <f t="shared" si="8"/>
        <v>0</v>
      </c>
      <c r="AY57" s="90">
        <f t="shared" si="4"/>
        <v>0</v>
      </c>
      <c r="AZ57" s="90"/>
    </row>
    <row r="58" spans="44:52" s="14" customFormat="1" ht="15" x14ac:dyDescent="0.25">
      <c r="AR58" s="90" t="str">
        <f t="shared" si="1"/>
        <v/>
      </c>
      <c r="AS58" s="142">
        <f t="shared" si="5"/>
        <v>0</v>
      </c>
      <c r="AT58" s="142"/>
      <c r="AU58" s="142">
        <f t="shared" si="2"/>
        <v>0</v>
      </c>
      <c r="AV58" s="142">
        <f t="shared" si="6"/>
        <v>0</v>
      </c>
      <c r="AW58" s="90">
        <f t="shared" si="7"/>
        <v>0</v>
      </c>
      <c r="AX58" s="143">
        <f t="shared" si="8"/>
        <v>0</v>
      </c>
      <c r="AY58" s="90">
        <f t="shared" si="4"/>
        <v>0</v>
      </c>
      <c r="AZ58" s="90"/>
    </row>
    <row r="59" spans="44:52" s="14" customFormat="1" ht="15" x14ac:dyDescent="0.25">
      <c r="AR59" s="90" t="str">
        <f t="shared" si="1"/>
        <v/>
      </c>
      <c r="AS59" s="142">
        <f t="shared" si="5"/>
        <v>0</v>
      </c>
      <c r="AT59" s="142"/>
      <c r="AU59" s="142">
        <f t="shared" si="2"/>
        <v>0</v>
      </c>
      <c r="AV59" s="142">
        <f t="shared" si="6"/>
        <v>0</v>
      </c>
      <c r="AW59" s="90">
        <f t="shared" si="7"/>
        <v>0</v>
      </c>
      <c r="AX59" s="143">
        <f t="shared" si="8"/>
        <v>0</v>
      </c>
      <c r="AY59" s="90">
        <f t="shared" si="4"/>
        <v>0</v>
      </c>
      <c r="AZ59" s="90"/>
    </row>
    <row r="60" spans="44:52" s="14" customFormat="1" ht="15" x14ac:dyDescent="0.25">
      <c r="AR60" s="90" t="str">
        <f t="shared" si="1"/>
        <v/>
      </c>
      <c r="AS60" s="142">
        <f t="shared" si="5"/>
        <v>0</v>
      </c>
      <c r="AT60" s="142"/>
      <c r="AU60" s="142">
        <f t="shared" si="2"/>
        <v>0</v>
      </c>
      <c r="AV60" s="142">
        <f t="shared" si="6"/>
        <v>0</v>
      </c>
      <c r="AW60" s="90">
        <f t="shared" si="7"/>
        <v>0</v>
      </c>
      <c r="AX60" s="143">
        <f t="shared" si="8"/>
        <v>0</v>
      </c>
      <c r="AY60" s="90">
        <f t="shared" si="4"/>
        <v>0</v>
      </c>
      <c r="AZ60" s="90"/>
    </row>
    <row r="61" spans="44:52" s="14" customFormat="1" ht="15" x14ac:dyDescent="0.25">
      <c r="AR61" s="90" t="str">
        <f t="shared" si="1"/>
        <v/>
      </c>
      <c r="AS61" s="142">
        <f t="shared" si="5"/>
        <v>0</v>
      </c>
      <c r="AT61" s="142"/>
      <c r="AU61" s="142">
        <f t="shared" si="2"/>
        <v>0</v>
      </c>
      <c r="AV61" s="142">
        <f t="shared" si="6"/>
        <v>0</v>
      </c>
      <c r="AW61" s="90">
        <f t="shared" si="7"/>
        <v>0</v>
      </c>
      <c r="AX61" s="143">
        <f t="shared" si="8"/>
        <v>0</v>
      </c>
      <c r="AY61" s="90">
        <f t="shared" si="4"/>
        <v>0</v>
      </c>
      <c r="AZ61" s="90"/>
    </row>
    <row r="62" spans="44:52" s="14" customFormat="1" ht="15" x14ac:dyDescent="0.25">
      <c r="AR62" s="90" t="str">
        <f t="shared" si="1"/>
        <v/>
      </c>
      <c r="AS62" s="142">
        <f t="shared" si="5"/>
        <v>0</v>
      </c>
      <c r="AT62" s="142"/>
      <c r="AU62" s="142">
        <f t="shared" si="2"/>
        <v>0</v>
      </c>
      <c r="AV62" s="142">
        <f t="shared" si="6"/>
        <v>0</v>
      </c>
      <c r="AW62" s="90">
        <f t="shared" si="7"/>
        <v>0</v>
      </c>
      <c r="AX62" s="143">
        <f t="shared" si="8"/>
        <v>0</v>
      </c>
      <c r="AY62" s="90">
        <f t="shared" si="4"/>
        <v>0</v>
      </c>
      <c r="AZ62" s="90"/>
    </row>
    <row r="63" spans="44:52" s="14" customFormat="1" ht="15" x14ac:dyDescent="0.25">
      <c r="AR63" s="90" t="str">
        <f t="shared" si="1"/>
        <v/>
      </c>
      <c r="AS63" s="142">
        <f t="shared" si="5"/>
        <v>0</v>
      </c>
      <c r="AT63" s="142"/>
      <c r="AU63" s="142">
        <f t="shared" si="2"/>
        <v>0</v>
      </c>
      <c r="AV63" s="142">
        <f t="shared" si="6"/>
        <v>0</v>
      </c>
      <c r="AW63" s="90">
        <f t="shared" si="7"/>
        <v>0</v>
      </c>
      <c r="AX63" s="143">
        <f t="shared" si="8"/>
        <v>0</v>
      </c>
      <c r="AY63" s="90">
        <f t="shared" si="4"/>
        <v>0</v>
      </c>
      <c r="AZ63" s="90"/>
    </row>
    <row r="64" spans="44:52" s="14" customFormat="1" ht="15" x14ac:dyDescent="0.25">
      <c r="AR64" s="90" t="str">
        <f t="shared" si="1"/>
        <v/>
      </c>
      <c r="AS64" s="142">
        <f t="shared" si="5"/>
        <v>0</v>
      </c>
      <c r="AT64" s="142"/>
      <c r="AU64" s="142">
        <f t="shared" si="2"/>
        <v>0</v>
      </c>
      <c r="AV64" s="142">
        <f t="shared" si="6"/>
        <v>0</v>
      </c>
      <c r="AW64" s="90">
        <f t="shared" si="7"/>
        <v>0</v>
      </c>
      <c r="AX64" s="143">
        <f t="shared" si="8"/>
        <v>0</v>
      </c>
      <c r="AY64" s="90">
        <f t="shared" si="4"/>
        <v>0</v>
      </c>
      <c r="AZ64" s="90"/>
    </row>
    <row r="65" spans="44:52" s="14" customFormat="1" ht="15" x14ac:dyDescent="0.25">
      <c r="AR65" s="90" t="str">
        <f t="shared" si="1"/>
        <v/>
      </c>
      <c r="AS65" s="142">
        <f t="shared" si="5"/>
        <v>0</v>
      </c>
      <c r="AT65" s="142"/>
      <c r="AU65" s="142">
        <f t="shared" si="2"/>
        <v>0</v>
      </c>
      <c r="AV65" s="142">
        <f t="shared" si="6"/>
        <v>0</v>
      </c>
      <c r="AW65" s="90">
        <f t="shared" si="7"/>
        <v>0</v>
      </c>
      <c r="AX65" s="143">
        <f t="shared" si="8"/>
        <v>0</v>
      </c>
      <c r="AY65" s="90">
        <f t="shared" si="4"/>
        <v>0</v>
      </c>
      <c r="AZ65" s="90"/>
    </row>
    <row r="66" spans="44:52" s="14" customFormat="1" ht="15" x14ac:dyDescent="0.25">
      <c r="AR66" s="90" t="str">
        <f t="shared" si="1"/>
        <v/>
      </c>
      <c r="AS66" s="142">
        <f t="shared" si="5"/>
        <v>0</v>
      </c>
      <c r="AT66" s="142"/>
      <c r="AU66" s="142">
        <f t="shared" si="2"/>
        <v>0</v>
      </c>
      <c r="AV66" s="142">
        <f t="shared" si="6"/>
        <v>0</v>
      </c>
      <c r="AW66" s="90">
        <f t="shared" si="7"/>
        <v>0</v>
      </c>
      <c r="AX66" s="143">
        <f t="shared" si="8"/>
        <v>0</v>
      </c>
      <c r="AY66" s="90">
        <f t="shared" si="4"/>
        <v>0</v>
      </c>
      <c r="AZ66" s="90"/>
    </row>
    <row r="67" spans="44:52" s="14" customFormat="1" ht="15" x14ac:dyDescent="0.25">
      <c r="AR67" s="90" t="str">
        <f t="shared" si="1"/>
        <v/>
      </c>
      <c r="AS67" s="142">
        <f t="shared" si="5"/>
        <v>0</v>
      </c>
      <c r="AT67" s="142"/>
      <c r="AU67" s="142">
        <f t="shared" si="2"/>
        <v>0</v>
      </c>
      <c r="AV67" s="142">
        <f t="shared" si="6"/>
        <v>0</v>
      </c>
      <c r="AW67" s="90">
        <f t="shared" si="7"/>
        <v>0</v>
      </c>
      <c r="AX67" s="143">
        <f t="shared" si="8"/>
        <v>0</v>
      </c>
      <c r="AY67" s="90">
        <f t="shared" si="4"/>
        <v>0</v>
      </c>
      <c r="AZ67" s="90"/>
    </row>
    <row r="68" spans="44:52" s="14" customFormat="1" ht="15" x14ac:dyDescent="0.25">
      <c r="AR68" s="90" t="str">
        <f t="shared" si="1"/>
        <v/>
      </c>
      <c r="AS68" s="142">
        <f t="shared" si="5"/>
        <v>0</v>
      </c>
      <c r="AT68" s="142"/>
      <c r="AU68" s="142">
        <f t="shared" si="2"/>
        <v>0</v>
      </c>
      <c r="AV68" s="142">
        <f t="shared" si="6"/>
        <v>0</v>
      </c>
      <c r="AW68" s="90">
        <f t="shared" si="7"/>
        <v>0</v>
      </c>
      <c r="AX68" s="143">
        <f t="shared" si="8"/>
        <v>0</v>
      </c>
      <c r="AY68" s="90">
        <f t="shared" si="4"/>
        <v>0</v>
      </c>
      <c r="AZ68" s="90"/>
    </row>
    <row r="69" spans="44:52" s="14" customFormat="1" ht="15" x14ac:dyDescent="0.25">
      <c r="AR69" s="90" t="str">
        <f t="shared" ref="AR69:AR113" si="9">IF(AR68&lt;$D$14,AR68+1,"")</f>
        <v/>
      </c>
      <c r="AS69" s="142">
        <f t="shared" si="5"/>
        <v>0</v>
      </c>
      <c r="AT69" s="142"/>
      <c r="AU69" s="142">
        <f t="shared" si="2"/>
        <v>0</v>
      </c>
      <c r="AV69" s="142">
        <f t="shared" si="6"/>
        <v>0</v>
      </c>
      <c r="AW69" s="90">
        <f t="shared" si="7"/>
        <v>0</v>
      </c>
      <c r="AX69" s="143">
        <f t="shared" si="8"/>
        <v>0</v>
      </c>
      <c r="AY69" s="90">
        <f t="shared" si="4"/>
        <v>0</v>
      </c>
      <c r="AZ69" s="90"/>
    </row>
    <row r="70" spans="44:52" s="14" customFormat="1" ht="15" x14ac:dyDescent="0.25">
      <c r="AR70" s="90" t="str">
        <f t="shared" si="9"/>
        <v/>
      </c>
      <c r="AS70" s="142">
        <f t="shared" si="5"/>
        <v>0</v>
      </c>
      <c r="AT70" s="142"/>
      <c r="AU70" s="142">
        <f t="shared" si="2"/>
        <v>0</v>
      </c>
      <c r="AV70" s="142">
        <f t="shared" si="6"/>
        <v>0</v>
      </c>
      <c r="AW70" s="90">
        <f t="shared" si="7"/>
        <v>0</v>
      </c>
      <c r="AX70" s="143">
        <f t="shared" si="8"/>
        <v>0</v>
      </c>
      <c r="AY70" s="90">
        <f t="shared" si="4"/>
        <v>0</v>
      </c>
      <c r="AZ70" s="90"/>
    </row>
    <row r="71" spans="44:52" s="14" customFormat="1" ht="15" x14ac:dyDescent="0.25">
      <c r="AR71" s="90" t="str">
        <f t="shared" si="9"/>
        <v/>
      </c>
      <c r="AS71" s="142">
        <f t="shared" si="5"/>
        <v>0</v>
      </c>
      <c r="AT71" s="142"/>
      <c r="AU71" s="142">
        <f t="shared" ref="AU71:AU113" si="10">$D$10*AS71</f>
        <v>0</v>
      </c>
      <c r="AV71" s="142">
        <f t="shared" si="6"/>
        <v>0</v>
      </c>
      <c r="AW71" s="90">
        <f t="shared" si="7"/>
        <v>0</v>
      </c>
      <c r="AX71" s="143">
        <f t="shared" si="8"/>
        <v>0</v>
      </c>
      <c r="AY71" s="90">
        <f t="shared" ref="AY71:AY113" si="11">IF(ISNUMBER(AR71),AX71/(1+$D$7)^AR71,0)</f>
        <v>0</v>
      </c>
      <c r="AZ71" s="90"/>
    </row>
    <row r="72" spans="44:52" s="14" customFormat="1" ht="15" x14ac:dyDescent="0.25">
      <c r="AR72" s="90" t="str">
        <f t="shared" si="9"/>
        <v/>
      </c>
      <c r="AS72" s="142">
        <f t="shared" ref="AS72:AS113" si="12">IF(ISNUMBER(AR72),AV71,0)</f>
        <v>0</v>
      </c>
      <c r="AT72" s="142"/>
      <c r="AU72" s="142">
        <f t="shared" si="10"/>
        <v>0</v>
      </c>
      <c r="AV72" s="142">
        <f t="shared" ref="AV72:AV113" si="13">AS72</f>
        <v>0</v>
      </c>
      <c r="AW72" s="90">
        <f t="shared" si="7"/>
        <v>0</v>
      </c>
      <c r="AX72" s="143">
        <f t="shared" si="8"/>
        <v>0</v>
      </c>
      <c r="AY72" s="90">
        <f t="shared" si="11"/>
        <v>0</v>
      </c>
      <c r="AZ72" s="90"/>
    </row>
    <row r="73" spans="44:52" s="14" customFormat="1" ht="15" x14ac:dyDescent="0.25">
      <c r="AR73" s="90" t="str">
        <f t="shared" si="9"/>
        <v/>
      </c>
      <c r="AS73" s="142">
        <f t="shared" si="12"/>
        <v>0</v>
      </c>
      <c r="AT73" s="142"/>
      <c r="AU73" s="142">
        <f t="shared" si="10"/>
        <v>0</v>
      </c>
      <c r="AV73" s="142">
        <f t="shared" si="13"/>
        <v>0</v>
      </c>
      <c r="AW73" s="90">
        <f t="shared" si="7"/>
        <v>0</v>
      </c>
      <c r="AX73" s="143">
        <f t="shared" si="8"/>
        <v>0</v>
      </c>
      <c r="AY73" s="90">
        <f t="shared" si="11"/>
        <v>0</v>
      </c>
      <c r="AZ73" s="90"/>
    </row>
    <row r="74" spans="44:52" s="14" customFormat="1" ht="15" x14ac:dyDescent="0.25">
      <c r="AR74" s="90" t="str">
        <f t="shared" si="9"/>
        <v/>
      </c>
      <c r="AS74" s="142">
        <f t="shared" si="12"/>
        <v>0</v>
      </c>
      <c r="AT74" s="142"/>
      <c r="AU74" s="142">
        <f t="shared" si="10"/>
        <v>0</v>
      </c>
      <c r="AV74" s="142">
        <f t="shared" si="13"/>
        <v>0</v>
      </c>
      <c r="AW74" s="90">
        <f t="shared" si="7"/>
        <v>0</v>
      </c>
      <c r="AX74" s="143">
        <f t="shared" si="8"/>
        <v>0</v>
      </c>
      <c r="AY74" s="90">
        <f t="shared" si="11"/>
        <v>0</v>
      </c>
      <c r="AZ74" s="90"/>
    </row>
    <row r="75" spans="44:52" s="14" customFormat="1" ht="15" x14ac:dyDescent="0.25">
      <c r="AR75" s="90" t="str">
        <f t="shared" si="9"/>
        <v/>
      </c>
      <c r="AS75" s="142">
        <f t="shared" si="12"/>
        <v>0</v>
      </c>
      <c r="AT75" s="142"/>
      <c r="AU75" s="142">
        <f t="shared" si="10"/>
        <v>0</v>
      </c>
      <c r="AV75" s="142">
        <f t="shared" si="13"/>
        <v>0</v>
      </c>
      <c r="AW75" s="90">
        <f t="shared" si="7"/>
        <v>0</v>
      </c>
      <c r="AX75" s="143">
        <f t="shared" si="8"/>
        <v>0</v>
      </c>
      <c r="AY75" s="90">
        <f t="shared" si="11"/>
        <v>0</v>
      </c>
      <c r="AZ75" s="90"/>
    </row>
    <row r="76" spans="44:52" s="14" customFormat="1" ht="15" x14ac:dyDescent="0.25">
      <c r="AR76" s="90" t="str">
        <f t="shared" si="9"/>
        <v/>
      </c>
      <c r="AS76" s="142">
        <f t="shared" si="12"/>
        <v>0</v>
      </c>
      <c r="AT76" s="142"/>
      <c r="AU76" s="142">
        <f t="shared" si="10"/>
        <v>0</v>
      </c>
      <c r="AV76" s="142">
        <f t="shared" si="13"/>
        <v>0</v>
      </c>
      <c r="AW76" s="90">
        <f t="shared" si="7"/>
        <v>0</v>
      </c>
      <c r="AX76" s="143">
        <f t="shared" si="8"/>
        <v>0</v>
      </c>
      <c r="AY76" s="90">
        <f t="shared" si="11"/>
        <v>0</v>
      </c>
      <c r="AZ76" s="90"/>
    </row>
    <row r="77" spans="44:52" s="14" customFormat="1" ht="15" x14ac:dyDescent="0.25">
      <c r="AR77" s="90" t="str">
        <f t="shared" si="9"/>
        <v/>
      </c>
      <c r="AS77" s="142">
        <f t="shared" si="12"/>
        <v>0</v>
      </c>
      <c r="AT77" s="142"/>
      <c r="AU77" s="142">
        <f t="shared" si="10"/>
        <v>0</v>
      </c>
      <c r="AV77" s="142">
        <f t="shared" si="13"/>
        <v>0</v>
      </c>
      <c r="AW77" s="90">
        <f t="shared" si="7"/>
        <v>0</v>
      </c>
      <c r="AX77" s="143">
        <f t="shared" si="8"/>
        <v>0</v>
      </c>
      <c r="AY77" s="90">
        <f t="shared" si="11"/>
        <v>0</v>
      </c>
      <c r="AZ77" s="90"/>
    </row>
    <row r="78" spans="44:52" s="14" customFormat="1" ht="15" x14ac:dyDescent="0.25">
      <c r="AR78" s="90" t="str">
        <f t="shared" si="9"/>
        <v/>
      </c>
      <c r="AS78" s="142">
        <f t="shared" si="12"/>
        <v>0</v>
      </c>
      <c r="AT78" s="142"/>
      <c r="AU78" s="142">
        <f t="shared" si="10"/>
        <v>0</v>
      </c>
      <c r="AV78" s="142">
        <f t="shared" si="13"/>
        <v>0</v>
      </c>
      <c r="AW78" s="90">
        <f t="shared" si="7"/>
        <v>0</v>
      </c>
      <c r="AX78" s="143">
        <f t="shared" si="8"/>
        <v>0</v>
      </c>
      <c r="AY78" s="90">
        <f t="shared" si="11"/>
        <v>0</v>
      </c>
      <c r="AZ78" s="90"/>
    </row>
    <row r="79" spans="44:52" s="14" customFormat="1" ht="15" x14ac:dyDescent="0.25">
      <c r="AR79" s="90" t="str">
        <f t="shared" si="9"/>
        <v/>
      </c>
      <c r="AS79" s="142">
        <f t="shared" si="12"/>
        <v>0</v>
      </c>
      <c r="AT79" s="142"/>
      <c r="AU79" s="142">
        <f t="shared" si="10"/>
        <v>0</v>
      </c>
      <c r="AV79" s="142">
        <f t="shared" si="13"/>
        <v>0</v>
      </c>
      <c r="AW79" s="90">
        <f t="shared" si="7"/>
        <v>0</v>
      </c>
      <c r="AX79" s="143">
        <f t="shared" si="8"/>
        <v>0</v>
      </c>
      <c r="AY79" s="90">
        <f t="shared" si="11"/>
        <v>0</v>
      </c>
      <c r="AZ79" s="90"/>
    </row>
    <row r="80" spans="44:52" s="14" customFormat="1" ht="15" x14ac:dyDescent="0.25">
      <c r="AR80" s="90" t="str">
        <f t="shared" si="9"/>
        <v/>
      </c>
      <c r="AS80" s="142">
        <f t="shared" si="12"/>
        <v>0</v>
      </c>
      <c r="AT80" s="142"/>
      <c r="AU80" s="142">
        <f t="shared" si="10"/>
        <v>0</v>
      </c>
      <c r="AV80" s="142">
        <f t="shared" si="13"/>
        <v>0</v>
      </c>
      <c r="AW80" s="90">
        <f t="shared" si="7"/>
        <v>0</v>
      </c>
      <c r="AX80" s="143">
        <f t="shared" si="8"/>
        <v>0</v>
      </c>
      <c r="AY80" s="90">
        <f t="shared" si="11"/>
        <v>0</v>
      </c>
      <c r="AZ80" s="90"/>
    </row>
    <row r="81" spans="44:52" s="14" customFormat="1" ht="15" x14ac:dyDescent="0.25">
      <c r="AR81" s="90" t="str">
        <f t="shared" si="9"/>
        <v/>
      </c>
      <c r="AS81" s="142">
        <f t="shared" si="12"/>
        <v>0</v>
      </c>
      <c r="AT81" s="142"/>
      <c r="AU81" s="142">
        <f t="shared" si="10"/>
        <v>0</v>
      </c>
      <c r="AV81" s="142">
        <f t="shared" si="13"/>
        <v>0</v>
      </c>
      <c r="AW81" s="90">
        <f t="shared" ref="AW81:AW113" si="14">IF(ISNUMBER(AR82),SUM(AT81:AU81),SUM(AT81:AV81))</f>
        <v>0</v>
      </c>
      <c r="AX81" s="143">
        <f t="shared" si="8"/>
        <v>0</v>
      </c>
      <c r="AY81" s="90">
        <f t="shared" si="11"/>
        <v>0</v>
      </c>
      <c r="AZ81" s="90"/>
    </row>
    <row r="82" spans="44:52" s="14" customFormat="1" ht="15" x14ac:dyDescent="0.25">
      <c r="AR82" s="90" t="str">
        <f t="shared" si="9"/>
        <v/>
      </c>
      <c r="AS82" s="142">
        <f t="shared" si="12"/>
        <v>0</v>
      </c>
      <c r="AT82" s="142"/>
      <c r="AU82" s="142">
        <f t="shared" si="10"/>
        <v>0</v>
      </c>
      <c r="AV82" s="142">
        <f t="shared" si="13"/>
        <v>0</v>
      </c>
      <c r="AW82" s="90">
        <f t="shared" si="14"/>
        <v>0</v>
      </c>
      <c r="AX82" s="143">
        <f t="shared" si="8"/>
        <v>0</v>
      </c>
      <c r="AY82" s="90">
        <f t="shared" si="11"/>
        <v>0</v>
      </c>
      <c r="AZ82" s="90"/>
    </row>
    <row r="83" spans="44:52" s="14" customFormat="1" ht="15" x14ac:dyDescent="0.25">
      <c r="AR83" s="90" t="str">
        <f t="shared" si="9"/>
        <v/>
      </c>
      <c r="AS83" s="142">
        <f t="shared" si="12"/>
        <v>0</v>
      </c>
      <c r="AT83" s="142"/>
      <c r="AU83" s="142">
        <f t="shared" si="10"/>
        <v>0</v>
      </c>
      <c r="AV83" s="142">
        <f t="shared" si="13"/>
        <v>0</v>
      </c>
      <c r="AW83" s="90">
        <f t="shared" si="14"/>
        <v>0</v>
      </c>
      <c r="AX83" s="143">
        <f t="shared" si="8"/>
        <v>0</v>
      </c>
      <c r="AY83" s="90">
        <f t="shared" si="11"/>
        <v>0</v>
      </c>
      <c r="AZ83" s="90"/>
    </row>
    <row r="84" spans="44:52" s="14" customFormat="1" ht="15" x14ac:dyDescent="0.25">
      <c r="AR84" s="90" t="str">
        <f t="shared" si="9"/>
        <v/>
      </c>
      <c r="AS84" s="142">
        <f t="shared" si="12"/>
        <v>0</v>
      </c>
      <c r="AT84" s="142"/>
      <c r="AU84" s="142">
        <f t="shared" si="10"/>
        <v>0</v>
      </c>
      <c r="AV84" s="142">
        <f t="shared" si="13"/>
        <v>0</v>
      </c>
      <c r="AW84" s="90">
        <f t="shared" si="14"/>
        <v>0</v>
      </c>
      <c r="AX84" s="143">
        <f t="shared" si="8"/>
        <v>0</v>
      </c>
      <c r="AY84" s="90">
        <f t="shared" si="11"/>
        <v>0</v>
      </c>
      <c r="AZ84" s="90"/>
    </row>
    <row r="85" spans="44:52" s="14" customFormat="1" ht="15" x14ac:dyDescent="0.25">
      <c r="AR85" s="90" t="str">
        <f t="shared" si="9"/>
        <v/>
      </c>
      <c r="AS85" s="142">
        <f t="shared" si="12"/>
        <v>0</v>
      </c>
      <c r="AT85" s="142"/>
      <c r="AU85" s="142">
        <f t="shared" si="10"/>
        <v>0</v>
      </c>
      <c r="AV85" s="142">
        <f t="shared" si="13"/>
        <v>0</v>
      </c>
      <c r="AW85" s="90">
        <f t="shared" si="14"/>
        <v>0</v>
      </c>
      <c r="AX85" s="143">
        <f t="shared" si="8"/>
        <v>0</v>
      </c>
      <c r="AY85" s="90">
        <f t="shared" si="11"/>
        <v>0</v>
      </c>
      <c r="AZ85" s="90"/>
    </row>
    <row r="86" spans="44:52" s="14" customFormat="1" ht="15" x14ac:dyDescent="0.25">
      <c r="AR86" s="90" t="str">
        <f t="shared" si="9"/>
        <v/>
      </c>
      <c r="AS86" s="142">
        <f t="shared" si="12"/>
        <v>0</v>
      </c>
      <c r="AT86" s="142"/>
      <c r="AU86" s="142">
        <f t="shared" si="10"/>
        <v>0</v>
      </c>
      <c r="AV86" s="142">
        <f t="shared" si="13"/>
        <v>0</v>
      </c>
      <c r="AW86" s="90">
        <f t="shared" si="14"/>
        <v>0</v>
      </c>
      <c r="AX86" s="143">
        <f t="shared" si="8"/>
        <v>0</v>
      </c>
      <c r="AY86" s="90">
        <f t="shared" si="11"/>
        <v>0</v>
      </c>
      <c r="AZ86" s="90"/>
    </row>
    <row r="87" spans="44:52" s="14" customFormat="1" ht="15" x14ac:dyDescent="0.25">
      <c r="AR87" s="90" t="str">
        <f t="shared" si="9"/>
        <v/>
      </c>
      <c r="AS87" s="142">
        <f t="shared" si="12"/>
        <v>0</v>
      </c>
      <c r="AT87" s="142"/>
      <c r="AU87" s="142">
        <f t="shared" si="10"/>
        <v>0</v>
      </c>
      <c r="AV87" s="142">
        <f t="shared" si="13"/>
        <v>0</v>
      </c>
      <c r="AW87" s="90">
        <f t="shared" si="14"/>
        <v>0</v>
      </c>
      <c r="AX87" s="143">
        <f t="shared" si="8"/>
        <v>0</v>
      </c>
      <c r="AY87" s="90">
        <f t="shared" si="11"/>
        <v>0</v>
      </c>
      <c r="AZ87" s="90"/>
    </row>
    <row r="88" spans="44:52" s="14" customFormat="1" ht="15" x14ac:dyDescent="0.25">
      <c r="AR88" s="90" t="str">
        <f t="shared" si="9"/>
        <v/>
      </c>
      <c r="AS88" s="142">
        <f t="shared" si="12"/>
        <v>0</v>
      </c>
      <c r="AT88" s="142"/>
      <c r="AU88" s="142">
        <f t="shared" si="10"/>
        <v>0</v>
      </c>
      <c r="AV88" s="142">
        <f t="shared" si="13"/>
        <v>0</v>
      </c>
      <c r="AW88" s="90">
        <f t="shared" si="14"/>
        <v>0</v>
      </c>
      <c r="AX88" s="143">
        <f t="shared" si="8"/>
        <v>0</v>
      </c>
      <c r="AY88" s="90">
        <f t="shared" si="11"/>
        <v>0</v>
      </c>
      <c r="AZ88" s="90"/>
    </row>
    <row r="89" spans="44:52" s="14" customFormat="1" ht="15" x14ac:dyDescent="0.25">
      <c r="AR89" s="90" t="str">
        <f t="shared" si="9"/>
        <v/>
      </c>
      <c r="AS89" s="142">
        <f t="shared" si="12"/>
        <v>0</v>
      </c>
      <c r="AT89" s="142"/>
      <c r="AU89" s="142">
        <f t="shared" si="10"/>
        <v>0</v>
      </c>
      <c r="AV89" s="142">
        <f t="shared" si="13"/>
        <v>0</v>
      </c>
      <c r="AW89" s="90">
        <f t="shared" si="14"/>
        <v>0</v>
      </c>
      <c r="AX89" s="143">
        <f t="shared" si="8"/>
        <v>0</v>
      </c>
      <c r="AY89" s="90">
        <f t="shared" si="11"/>
        <v>0</v>
      </c>
      <c r="AZ89" s="90"/>
    </row>
    <row r="90" spans="44:52" s="14" customFormat="1" ht="15" x14ac:dyDescent="0.25">
      <c r="AR90" s="90" t="str">
        <f t="shared" si="9"/>
        <v/>
      </c>
      <c r="AS90" s="142">
        <f t="shared" si="12"/>
        <v>0</v>
      </c>
      <c r="AT90" s="142"/>
      <c r="AU90" s="142">
        <f t="shared" si="10"/>
        <v>0</v>
      </c>
      <c r="AV90" s="142">
        <f t="shared" si="13"/>
        <v>0</v>
      </c>
      <c r="AW90" s="90">
        <f t="shared" si="14"/>
        <v>0</v>
      </c>
      <c r="AX90" s="143">
        <f t="shared" si="8"/>
        <v>0</v>
      </c>
      <c r="AY90" s="90">
        <f t="shared" si="11"/>
        <v>0</v>
      </c>
      <c r="AZ90" s="90"/>
    </row>
    <row r="91" spans="44:52" s="14" customFormat="1" ht="15" x14ac:dyDescent="0.25">
      <c r="AR91" s="90" t="str">
        <f t="shared" si="9"/>
        <v/>
      </c>
      <c r="AS91" s="142">
        <f t="shared" si="12"/>
        <v>0</v>
      </c>
      <c r="AT91" s="142"/>
      <c r="AU91" s="142">
        <f t="shared" si="10"/>
        <v>0</v>
      </c>
      <c r="AV91" s="142">
        <f t="shared" si="13"/>
        <v>0</v>
      </c>
      <c r="AW91" s="90">
        <f t="shared" si="14"/>
        <v>0</v>
      </c>
      <c r="AX91" s="143">
        <f t="shared" si="8"/>
        <v>0</v>
      </c>
      <c r="AY91" s="90">
        <f t="shared" si="11"/>
        <v>0</v>
      </c>
      <c r="AZ91" s="90"/>
    </row>
    <row r="92" spans="44:52" s="14" customFormat="1" ht="15" x14ac:dyDescent="0.25">
      <c r="AR92" s="90" t="str">
        <f t="shared" si="9"/>
        <v/>
      </c>
      <c r="AS92" s="142">
        <f t="shared" si="12"/>
        <v>0</v>
      </c>
      <c r="AT92" s="142"/>
      <c r="AU92" s="142">
        <f t="shared" si="10"/>
        <v>0</v>
      </c>
      <c r="AV92" s="142">
        <f t="shared" si="13"/>
        <v>0</v>
      </c>
      <c r="AW92" s="90">
        <f t="shared" si="14"/>
        <v>0</v>
      </c>
      <c r="AX92" s="143">
        <f t="shared" si="8"/>
        <v>0</v>
      </c>
      <c r="AY92" s="90">
        <f t="shared" si="11"/>
        <v>0</v>
      </c>
      <c r="AZ92" s="90"/>
    </row>
    <row r="93" spans="44:52" s="14" customFormat="1" ht="15" x14ac:dyDescent="0.25">
      <c r="AR93" s="90" t="str">
        <f t="shared" si="9"/>
        <v/>
      </c>
      <c r="AS93" s="142">
        <f t="shared" si="12"/>
        <v>0</v>
      </c>
      <c r="AT93" s="142"/>
      <c r="AU93" s="142">
        <f t="shared" si="10"/>
        <v>0</v>
      </c>
      <c r="AV93" s="142">
        <f t="shared" si="13"/>
        <v>0</v>
      </c>
      <c r="AW93" s="90">
        <f t="shared" si="14"/>
        <v>0</v>
      </c>
      <c r="AX93" s="143">
        <f t="shared" si="8"/>
        <v>0</v>
      </c>
      <c r="AY93" s="90">
        <f t="shared" si="11"/>
        <v>0</v>
      </c>
      <c r="AZ93" s="90"/>
    </row>
    <row r="94" spans="44:52" s="14" customFormat="1" ht="15" x14ac:dyDescent="0.25">
      <c r="AR94" s="90" t="str">
        <f t="shared" si="9"/>
        <v/>
      </c>
      <c r="AS94" s="142">
        <f t="shared" si="12"/>
        <v>0</v>
      </c>
      <c r="AT94" s="142"/>
      <c r="AU94" s="142">
        <f t="shared" si="10"/>
        <v>0</v>
      </c>
      <c r="AV94" s="142">
        <f t="shared" si="13"/>
        <v>0</v>
      </c>
      <c r="AW94" s="90">
        <f t="shared" si="14"/>
        <v>0</v>
      </c>
      <c r="AX94" s="143">
        <f t="shared" si="8"/>
        <v>0</v>
      </c>
      <c r="AY94" s="90">
        <f t="shared" si="11"/>
        <v>0</v>
      </c>
      <c r="AZ94" s="90"/>
    </row>
    <row r="95" spans="44:52" s="14" customFormat="1" ht="15" x14ac:dyDescent="0.25">
      <c r="AR95" s="90" t="str">
        <f t="shared" si="9"/>
        <v/>
      </c>
      <c r="AS95" s="142">
        <f t="shared" si="12"/>
        <v>0</v>
      </c>
      <c r="AT95" s="142"/>
      <c r="AU95" s="142">
        <f t="shared" si="10"/>
        <v>0</v>
      </c>
      <c r="AV95" s="142">
        <f t="shared" si="13"/>
        <v>0</v>
      </c>
      <c r="AW95" s="90">
        <f t="shared" si="14"/>
        <v>0</v>
      </c>
      <c r="AX95" s="143">
        <f t="shared" si="8"/>
        <v>0</v>
      </c>
      <c r="AY95" s="90">
        <f t="shared" si="11"/>
        <v>0</v>
      </c>
      <c r="AZ95" s="90"/>
    </row>
    <row r="96" spans="44:52" s="14" customFormat="1" ht="15" x14ac:dyDescent="0.25">
      <c r="AR96" s="90" t="str">
        <f t="shared" si="9"/>
        <v/>
      </c>
      <c r="AS96" s="142">
        <f t="shared" si="12"/>
        <v>0</v>
      </c>
      <c r="AT96" s="142"/>
      <c r="AU96" s="142">
        <f t="shared" si="10"/>
        <v>0</v>
      </c>
      <c r="AV96" s="142">
        <f t="shared" si="13"/>
        <v>0</v>
      </c>
      <c r="AW96" s="90">
        <f t="shared" si="14"/>
        <v>0</v>
      </c>
      <c r="AX96" s="143">
        <f t="shared" si="8"/>
        <v>0</v>
      </c>
      <c r="AY96" s="90">
        <f t="shared" si="11"/>
        <v>0</v>
      </c>
      <c r="AZ96" s="90"/>
    </row>
    <row r="97" spans="44:52" s="14" customFormat="1" ht="15" x14ac:dyDescent="0.25">
      <c r="AR97" s="90" t="str">
        <f t="shared" si="9"/>
        <v/>
      </c>
      <c r="AS97" s="142">
        <f t="shared" si="12"/>
        <v>0</v>
      </c>
      <c r="AT97" s="142"/>
      <c r="AU97" s="142">
        <f t="shared" si="10"/>
        <v>0</v>
      </c>
      <c r="AV97" s="142">
        <f t="shared" si="13"/>
        <v>0</v>
      </c>
      <c r="AW97" s="90">
        <f t="shared" si="14"/>
        <v>0</v>
      </c>
      <c r="AX97" s="143">
        <f t="shared" si="8"/>
        <v>0</v>
      </c>
      <c r="AY97" s="90">
        <f t="shared" si="11"/>
        <v>0</v>
      </c>
      <c r="AZ97" s="90"/>
    </row>
    <row r="98" spans="44:52" s="14" customFormat="1" ht="15" x14ac:dyDescent="0.25">
      <c r="AR98" s="90" t="str">
        <f t="shared" si="9"/>
        <v/>
      </c>
      <c r="AS98" s="142">
        <f t="shared" si="12"/>
        <v>0</v>
      </c>
      <c r="AT98" s="142"/>
      <c r="AU98" s="142">
        <f t="shared" si="10"/>
        <v>0</v>
      </c>
      <c r="AV98" s="142">
        <f t="shared" si="13"/>
        <v>0</v>
      </c>
      <c r="AW98" s="90">
        <f t="shared" si="14"/>
        <v>0</v>
      </c>
      <c r="AX98" s="143">
        <f t="shared" si="8"/>
        <v>0</v>
      </c>
      <c r="AY98" s="90">
        <f t="shared" si="11"/>
        <v>0</v>
      </c>
      <c r="AZ98" s="90"/>
    </row>
    <row r="99" spans="44:52" s="14" customFormat="1" ht="15" x14ac:dyDescent="0.25">
      <c r="AR99" s="90" t="str">
        <f t="shared" si="9"/>
        <v/>
      </c>
      <c r="AS99" s="142">
        <f t="shared" si="12"/>
        <v>0</v>
      </c>
      <c r="AT99" s="142"/>
      <c r="AU99" s="142">
        <f t="shared" si="10"/>
        <v>0</v>
      </c>
      <c r="AV99" s="142">
        <f t="shared" si="13"/>
        <v>0</v>
      </c>
      <c r="AW99" s="90">
        <f t="shared" si="14"/>
        <v>0</v>
      </c>
      <c r="AX99" s="143">
        <f t="shared" si="8"/>
        <v>0</v>
      </c>
      <c r="AY99" s="90">
        <f t="shared" si="11"/>
        <v>0</v>
      </c>
      <c r="AZ99" s="90"/>
    </row>
    <row r="100" spans="44:52" s="14" customFormat="1" ht="15" x14ac:dyDescent="0.25">
      <c r="AR100" s="90" t="str">
        <f t="shared" si="9"/>
        <v/>
      </c>
      <c r="AS100" s="142">
        <f t="shared" si="12"/>
        <v>0</v>
      </c>
      <c r="AT100" s="142"/>
      <c r="AU100" s="142">
        <f t="shared" si="10"/>
        <v>0</v>
      </c>
      <c r="AV100" s="142">
        <f t="shared" si="13"/>
        <v>0</v>
      </c>
      <c r="AW100" s="90">
        <f t="shared" si="14"/>
        <v>0</v>
      </c>
      <c r="AX100" s="143">
        <f t="shared" si="8"/>
        <v>0</v>
      </c>
      <c r="AY100" s="90">
        <f t="shared" si="11"/>
        <v>0</v>
      </c>
      <c r="AZ100" s="90"/>
    </row>
    <row r="101" spans="44:52" s="14" customFormat="1" ht="15" x14ac:dyDescent="0.25">
      <c r="AR101" s="90" t="str">
        <f t="shared" si="9"/>
        <v/>
      </c>
      <c r="AS101" s="142">
        <f t="shared" si="12"/>
        <v>0</v>
      </c>
      <c r="AT101" s="142"/>
      <c r="AU101" s="142">
        <f t="shared" si="10"/>
        <v>0</v>
      </c>
      <c r="AV101" s="142">
        <f t="shared" si="13"/>
        <v>0</v>
      </c>
      <c r="AW101" s="90">
        <f t="shared" si="14"/>
        <v>0</v>
      </c>
      <c r="AX101" s="143">
        <f t="shared" si="8"/>
        <v>0</v>
      </c>
      <c r="AY101" s="90">
        <f t="shared" si="11"/>
        <v>0</v>
      </c>
      <c r="AZ101" s="90"/>
    </row>
    <row r="102" spans="44:52" s="14" customFormat="1" ht="15" x14ac:dyDescent="0.25">
      <c r="AR102" s="90" t="str">
        <f t="shared" si="9"/>
        <v/>
      </c>
      <c r="AS102" s="142">
        <f t="shared" si="12"/>
        <v>0</v>
      </c>
      <c r="AT102" s="142"/>
      <c r="AU102" s="142">
        <f t="shared" si="10"/>
        <v>0</v>
      </c>
      <c r="AV102" s="142">
        <f t="shared" si="13"/>
        <v>0</v>
      </c>
      <c r="AW102" s="90">
        <f t="shared" si="14"/>
        <v>0</v>
      </c>
      <c r="AX102" s="143">
        <f t="shared" ref="AX102:AX113" si="15">LN(AW102+$J$36)-LN($J$36)</f>
        <v>0</v>
      </c>
      <c r="AY102" s="90">
        <f t="shared" si="11"/>
        <v>0</v>
      </c>
      <c r="AZ102" s="90"/>
    </row>
    <row r="103" spans="44:52" s="14" customFormat="1" ht="15" x14ac:dyDescent="0.25">
      <c r="AR103" s="90" t="str">
        <f t="shared" si="9"/>
        <v/>
      </c>
      <c r="AS103" s="142">
        <f t="shared" si="12"/>
        <v>0</v>
      </c>
      <c r="AT103" s="142"/>
      <c r="AU103" s="142">
        <f t="shared" si="10"/>
        <v>0</v>
      </c>
      <c r="AV103" s="142">
        <f t="shared" si="13"/>
        <v>0</v>
      </c>
      <c r="AW103" s="90">
        <f t="shared" si="14"/>
        <v>0</v>
      </c>
      <c r="AX103" s="143">
        <f t="shared" si="15"/>
        <v>0</v>
      </c>
      <c r="AY103" s="90">
        <f t="shared" si="11"/>
        <v>0</v>
      </c>
      <c r="AZ103" s="90"/>
    </row>
    <row r="104" spans="44:52" s="14" customFormat="1" ht="15" x14ac:dyDescent="0.25">
      <c r="AR104" s="90" t="str">
        <f t="shared" si="9"/>
        <v/>
      </c>
      <c r="AS104" s="142">
        <f t="shared" si="12"/>
        <v>0</v>
      </c>
      <c r="AT104" s="142"/>
      <c r="AU104" s="142">
        <f t="shared" si="10"/>
        <v>0</v>
      </c>
      <c r="AV104" s="142">
        <f t="shared" si="13"/>
        <v>0</v>
      </c>
      <c r="AW104" s="90">
        <f t="shared" si="14"/>
        <v>0</v>
      </c>
      <c r="AX104" s="143">
        <f t="shared" si="15"/>
        <v>0</v>
      </c>
      <c r="AY104" s="90">
        <f t="shared" si="11"/>
        <v>0</v>
      </c>
      <c r="AZ104" s="90"/>
    </row>
    <row r="105" spans="44:52" s="14" customFormat="1" ht="15" x14ac:dyDescent="0.25">
      <c r="AR105" s="90" t="str">
        <f t="shared" si="9"/>
        <v/>
      </c>
      <c r="AS105" s="142">
        <f t="shared" si="12"/>
        <v>0</v>
      </c>
      <c r="AT105" s="142"/>
      <c r="AU105" s="142">
        <f t="shared" si="10"/>
        <v>0</v>
      </c>
      <c r="AV105" s="142">
        <f t="shared" si="13"/>
        <v>0</v>
      </c>
      <c r="AW105" s="90">
        <f t="shared" si="14"/>
        <v>0</v>
      </c>
      <c r="AX105" s="143">
        <f t="shared" si="15"/>
        <v>0</v>
      </c>
      <c r="AY105" s="90">
        <f t="shared" si="11"/>
        <v>0</v>
      </c>
      <c r="AZ105" s="90"/>
    </row>
    <row r="106" spans="44:52" s="14" customFormat="1" ht="15" x14ac:dyDescent="0.25">
      <c r="AR106" s="90" t="str">
        <f t="shared" si="9"/>
        <v/>
      </c>
      <c r="AS106" s="142">
        <f t="shared" si="12"/>
        <v>0</v>
      </c>
      <c r="AT106" s="142"/>
      <c r="AU106" s="142">
        <f t="shared" si="10"/>
        <v>0</v>
      </c>
      <c r="AV106" s="142">
        <f t="shared" si="13"/>
        <v>0</v>
      </c>
      <c r="AW106" s="90">
        <f t="shared" si="14"/>
        <v>0</v>
      </c>
      <c r="AX106" s="143">
        <f t="shared" si="15"/>
        <v>0</v>
      </c>
      <c r="AY106" s="90">
        <f t="shared" si="11"/>
        <v>0</v>
      </c>
      <c r="AZ106" s="90"/>
    </row>
    <row r="107" spans="44:52" s="14" customFormat="1" ht="15" x14ac:dyDescent="0.25">
      <c r="AR107" s="90" t="str">
        <f t="shared" si="9"/>
        <v/>
      </c>
      <c r="AS107" s="142">
        <f t="shared" si="12"/>
        <v>0</v>
      </c>
      <c r="AT107" s="142"/>
      <c r="AU107" s="142">
        <f t="shared" si="10"/>
        <v>0</v>
      </c>
      <c r="AV107" s="142">
        <f t="shared" si="13"/>
        <v>0</v>
      </c>
      <c r="AW107" s="90">
        <f t="shared" si="14"/>
        <v>0</v>
      </c>
      <c r="AX107" s="143">
        <f t="shared" si="15"/>
        <v>0</v>
      </c>
      <c r="AY107" s="90">
        <f t="shared" si="11"/>
        <v>0</v>
      </c>
      <c r="AZ107" s="90"/>
    </row>
    <row r="108" spans="44:52" s="14" customFormat="1" ht="15" x14ac:dyDescent="0.25">
      <c r="AR108" s="90" t="str">
        <f t="shared" si="9"/>
        <v/>
      </c>
      <c r="AS108" s="142">
        <f t="shared" si="12"/>
        <v>0</v>
      </c>
      <c r="AT108" s="142"/>
      <c r="AU108" s="142">
        <f t="shared" si="10"/>
        <v>0</v>
      </c>
      <c r="AV108" s="142">
        <f t="shared" si="13"/>
        <v>0</v>
      </c>
      <c r="AW108" s="90">
        <f t="shared" si="14"/>
        <v>0</v>
      </c>
      <c r="AX108" s="143">
        <f t="shared" si="15"/>
        <v>0</v>
      </c>
      <c r="AY108" s="90">
        <f t="shared" si="11"/>
        <v>0</v>
      </c>
      <c r="AZ108" s="90"/>
    </row>
    <row r="109" spans="44:52" s="14" customFormat="1" ht="15" x14ac:dyDescent="0.25">
      <c r="AR109" s="90" t="str">
        <f t="shared" si="9"/>
        <v/>
      </c>
      <c r="AS109" s="142">
        <f t="shared" si="12"/>
        <v>0</v>
      </c>
      <c r="AT109" s="142"/>
      <c r="AU109" s="142">
        <f t="shared" si="10"/>
        <v>0</v>
      </c>
      <c r="AV109" s="142">
        <f t="shared" si="13"/>
        <v>0</v>
      </c>
      <c r="AW109" s="90">
        <f t="shared" si="14"/>
        <v>0</v>
      </c>
      <c r="AX109" s="143">
        <f t="shared" si="15"/>
        <v>0</v>
      </c>
      <c r="AY109" s="90">
        <f t="shared" si="11"/>
        <v>0</v>
      </c>
      <c r="AZ109" s="90"/>
    </row>
    <row r="110" spans="44:52" s="14" customFormat="1" ht="15" x14ac:dyDescent="0.25">
      <c r="AR110" s="90" t="str">
        <f t="shared" si="9"/>
        <v/>
      </c>
      <c r="AS110" s="142">
        <f t="shared" si="12"/>
        <v>0</v>
      </c>
      <c r="AT110" s="142"/>
      <c r="AU110" s="142">
        <f t="shared" si="10"/>
        <v>0</v>
      </c>
      <c r="AV110" s="142">
        <f t="shared" si="13"/>
        <v>0</v>
      </c>
      <c r="AW110" s="90">
        <f t="shared" si="14"/>
        <v>0</v>
      </c>
      <c r="AX110" s="143">
        <f t="shared" si="15"/>
        <v>0</v>
      </c>
      <c r="AY110" s="90">
        <f t="shared" si="11"/>
        <v>0</v>
      </c>
      <c r="AZ110" s="90"/>
    </row>
    <row r="111" spans="44:52" s="14" customFormat="1" ht="15" x14ac:dyDescent="0.25">
      <c r="AR111" s="90" t="str">
        <f t="shared" si="9"/>
        <v/>
      </c>
      <c r="AS111" s="142">
        <f t="shared" si="12"/>
        <v>0</v>
      </c>
      <c r="AT111" s="142"/>
      <c r="AU111" s="142">
        <f t="shared" si="10"/>
        <v>0</v>
      </c>
      <c r="AV111" s="142">
        <f t="shared" si="13"/>
        <v>0</v>
      </c>
      <c r="AW111" s="90">
        <f t="shared" si="14"/>
        <v>0</v>
      </c>
      <c r="AX111" s="143">
        <f t="shared" si="15"/>
        <v>0</v>
      </c>
      <c r="AY111" s="90">
        <f t="shared" si="11"/>
        <v>0</v>
      </c>
      <c r="AZ111" s="90"/>
    </row>
    <row r="112" spans="44:52" s="14" customFormat="1" ht="15" x14ac:dyDescent="0.25">
      <c r="AR112" s="90" t="str">
        <f t="shared" si="9"/>
        <v/>
      </c>
      <c r="AS112" s="142">
        <f t="shared" si="12"/>
        <v>0</v>
      </c>
      <c r="AT112" s="142"/>
      <c r="AU112" s="142">
        <f t="shared" si="10"/>
        <v>0</v>
      </c>
      <c r="AV112" s="142">
        <f t="shared" si="13"/>
        <v>0</v>
      </c>
      <c r="AW112" s="90">
        <f t="shared" si="14"/>
        <v>0</v>
      </c>
      <c r="AX112" s="143">
        <f t="shared" si="15"/>
        <v>0</v>
      </c>
      <c r="AY112" s="90">
        <f t="shared" si="11"/>
        <v>0</v>
      </c>
      <c r="AZ112" s="90"/>
    </row>
    <row r="113" spans="44:52" s="14" customFormat="1" ht="15" x14ac:dyDescent="0.25">
      <c r="AR113" s="90" t="str">
        <f t="shared" si="9"/>
        <v/>
      </c>
      <c r="AS113" s="142">
        <f t="shared" si="12"/>
        <v>0</v>
      </c>
      <c r="AT113" s="142"/>
      <c r="AU113" s="142">
        <f t="shared" si="10"/>
        <v>0</v>
      </c>
      <c r="AV113" s="142">
        <f t="shared" si="13"/>
        <v>0</v>
      </c>
      <c r="AW113" s="90">
        <f t="shared" si="14"/>
        <v>0</v>
      </c>
      <c r="AX113" s="143">
        <f t="shared" si="15"/>
        <v>0</v>
      </c>
      <c r="AY113" s="90">
        <f t="shared" si="11"/>
        <v>0</v>
      </c>
      <c r="AZ113" s="90"/>
    </row>
    <row r="114" spans="44:52" s="14" customFormat="1" ht="15" x14ac:dyDescent="0.25">
      <c r="AZ114" s="90"/>
    </row>
    <row r="115" spans="44:52" s="14" customFormat="1" ht="15" x14ac:dyDescent="0.25">
      <c r="AZ115" s="90"/>
    </row>
    <row r="116" spans="44:52" s="14" customFormat="1" ht="15" x14ac:dyDescent="0.25">
      <c r="AZ116" s="90"/>
    </row>
    <row r="117" spans="44:52" s="14" customFormat="1" ht="15" x14ac:dyDescent="0.25">
      <c r="AZ117" s="90"/>
    </row>
    <row r="118" spans="44:52" ht="15" x14ac:dyDescent="0.25">
      <c r="AZ118"/>
    </row>
  </sheetData>
  <mergeCells count="59">
    <mergeCell ref="H37:Q37"/>
    <mergeCell ref="R37:T37"/>
    <mergeCell ref="B35:B37"/>
    <mergeCell ref="D35:F35"/>
    <mergeCell ref="H35:I35"/>
    <mergeCell ref="J35:N35"/>
    <mergeCell ref="O35:P35"/>
    <mergeCell ref="D36:F36"/>
    <mergeCell ref="H36:I36"/>
    <mergeCell ref="J36:N36"/>
    <mergeCell ref="O36:P36"/>
    <mergeCell ref="D37:G37"/>
    <mergeCell ref="B23:E26"/>
    <mergeCell ref="Q25:Q28"/>
    <mergeCell ref="R29:V29"/>
    <mergeCell ref="R30:V30"/>
    <mergeCell ref="F31:F33"/>
    <mergeCell ref="R31:V31"/>
    <mergeCell ref="F21:F24"/>
    <mergeCell ref="R21:S22"/>
    <mergeCell ref="U21:W22"/>
    <mergeCell ref="Q18:Q19"/>
    <mergeCell ref="T18:U18"/>
    <mergeCell ref="V18:W18"/>
    <mergeCell ref="T19:U19"/>
    <mergeCell ref="V19:W19"/>
    <mergeCell ref="C16:C17"/>
    <mergeCell ref="D16:D17"/>
    <mergeCell ref="F16:F17"/>
    <mergeCell ref="G16:G17"/>
    <mergeCell ref="S16:T16"/>
    <mergeCell ref="T10:U10"/>
    <mergeCell ref="T11:U11"/>
    <mergeCell ref="Q13:Q16"/>
    <mergeCell ref="T13:U13"/>
    <mergeCell ref="B14:B18"/>
    <mergeCell ref="C14:C15"/>
    <mergeCell ref="D14:D15"/>
    <mergeCell ref="F14:F15"/>
    <mergeCell ref="G14:G15"/>
    <mergeCell ref="T14:U14"/>
    <mergeCell ref="B7:B11"/>
    <mergeCell ref="Q8:Q11"/>
    <mergeCell ref="T8:U8"/>
    <mergeCell ref="C9:D9"/>
    <mergeCell ref="T9:U9"/>
    <mergeCell ref="T15:U15"/>
    <mergeCell ref="C6:D6"/>
    <mergeCell ref="I6:J6"/>
    <mergeCell ref="L6:M6"/>
    <mergeCell ref="T6:U6"/>
    <mergeCell ref="V6:W6"/>
    <mergeCell ref="S2:T3"/>
    <mergeCell ref="B4:D5"/>
    <mergeCell ref="F4:G5"/>
    <mergeCell ref="T4:U4"/>
    <mergeCell ref="V4:W4"/>
    <mergeCell ref="T5:U5"/>
    <mergeCell ref="V5:W5"/>
  </mergeCells>
  <pageMargins left="0.7" right="0.7" top="0.75" bottom="0.75" header="0.3" footer="0.3"/>
  <pageSetup paperSize="9" orientation="portrait" r:id="rId1"/>
  <drawing r:id="rId2"/>
  <legacyDrawing r:id="rId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1"/>
  <sheetViews>
    <sheetView tabSelected="1" zoomScale="150" zoomScaleNormal="150" zoomScalePageLayoutView="150" workbookViewId="0"/>
  </sheetViews>
  <sheetFormatPr defaultColWidth="8.85546875" defaultRowHeight="11.25" x14ac:dyDescent="0.2"/>
  <cols>
    <col min="1" max="1" width="1.42578125" style="232" customWidth="1"/>
    <col min="2" max="2" width="9.42578125" style="232" customWidth="1"/>
    <col min="3" max="3" width="15.7109375" style="232" customWidth="1"/>
    <col min="4" max="4" width="5.85546875" style="232" customWidth="1"/>
    <col min="5" max="5" width="1.85546875" style="232" customWidth="1"/>
    <col min="6" max="6" width="21.42578125" style="232" customWidth="1"/>
    <col min="7" max="7" width="13.42578125" style="232" customWidth="1"/>
    <col min="8" max="8" width="1.42578125" style="232" customWidth="1"/>
    <col min="9" max="9" width="16.42578125" style="232" customWidth="1"/>
    <col min="10" max="10" width="8.42578125" style="232" customWidth="1"/>
    <col min="11" max="11" width="1.42578125" style="232" customWidth="1"/>
    <col min="12" max="12" width="22.85546875" style="232" customWidth="1"/>
    <col min="13" max="13" width="8.42578125" style="232" customWidth="1"/>
    <col min="14" max="14" width="0.85546875" style="232" customWidth="1"/>
    <col min="15" max="15" width="2.85546875" style="232" customWidth="1"/>
    <col min="16" max="16" width="3" style="232" customWidth="1"/>
    <col min="17" max="17" width="15.42578125" style="232" customWidth="1"/>
    <col min="18" max="18" width="30.85546875" style="232" customWidth="1"/>
    <col min="19" max="19" width="23.42578125" style="232" customWidth="1"/>
    <col min="20" max="20" width="1" style="232" customWidth="1"/>
    <col min="21" max="21" width="24.42578125" style="232" customWidth="1"/>
    <col min="22" max="23" width="12.42578125" style="232" customWidth="1"/>
    <col min="24" max="24" width="12.42578125" style="245" customWidth="1"/>
    <col min="25" max="25" width="13.42578125" style="232" customWidth="1"/>
    <col min="26" max="26" width="14.140625" style="232" customWidth="1"/>
    <col min="27" max="28" width="11.42578125" style="232" customWidth="1"/>
    <col min="29" max="29" width="2.42578125" style="232" customWidth="1"/>
    <col min="30" max="30" width="40.85546875" style="232" customWidth="1"/>
    <col min="31" max="31" width="14.42578125" style="232" bestFit="1" customWidth="1"/>
    <col min="32" max="38" width="8.85546875" style="232"/>
    <col min="39" max="39" width="14" style="232" bestFit="1" customWidth="1"/>
    <col min="40" max="57" width="8.85546875" style="232"/>
    <col min="58" max="58" width="15.7109375" style="232" bestFit="1" customWidth="1"/>
    <col min="59" max="16384" width="8.85546875" style="232"/>
  </cols>
  <sheetData>
    <row r="1" spans="1:70" ht="6" customHeight="1" thickBot="1" x14ac:dyDescent="0.4">
      <c r="A1" s="273"/>
      <c r="B1" s="245"/>
      <c r="C1" s="245"/>
      <c r="D1" s="245"/>
      <c r="E1" s="245"/>
      <c r="F1" s="245"/>
      <c r="G1" s="245"/>
      <c r="H1" s="245"/>
      <c r="I1" s="245"/>
      <c r="J1" s="245"/>
      <c r="K1" s="245"/>
      <c r="L1" s="245"/>
      <c r="M1" s="245"/>
      <c r="N1" s="245"/>
      <c r="O1" s="245"/>
      <c r="P1" s="245"/>
      <c r="Q1" s="245"/>
      <c r="R1" s="253"/>
      <c r="S1" s="245"/>
      <c r="T1" s="245"/>
      <c r="U1" s="245"/>
      <c r="V1" s="245"/>
      <c r="W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BM1" s="1017" t="s">
        <v>749</v>
      </c>
      <c r="BN1" s="1018"/>
    </row>
    <row r="2" spans="1:70" ht="15" customHeight="1" x14ac:dyDescent="0.3">
      <c r="A2" s="245"/>
      <c r="B2" s="245"/>
      <c r="C2" s="331"/>
      <c r="D2" s="248"/>
      <c r="E2" s="248"/>
      <c r="F2" s="245"/>
      <c r="G2" s="245"/>
      <c r="H2" s="245"/>
      <c r="I2" s="245"/>
      <c r="J2" s="245"/>
      <c r="K2" s="273"/>
      <c r="L2" s="383"/>
      <c r="M2" s="273"/>
      <c r="N2" s="245"/>
      <c r="O2" s="245"/>
      <c r="P2" s="245"/>
      <c r="Q2" s="245"/>
      <c r="S2" s="780" t="s">
        <v>187</v>
      </c>
      <c r="T2" s="781"/>
      <c r="U2" s="330"/>
      <c r="V2" s="330"/>
      <c r="W2" s="330"/>
      <c r="X2" s="330"/>
      <c r="Y2" s="245"/>
      <c r="Z2" s="784" t="s">
        <v>290</v>
      </c>
      <c r="AA2" s="785"/>
      <c r="AB2" s="786"/>
      <c r="AC2" s="245"/>
      <c r="AD2" s="245"/>
      <c r="AE2" s="245"/>
      <c r="AF2" s="245"/>
      <c r="AG2" s="784" t="s">
        <v>720</v>
      </c>
      <c r="AH2" s="785"/>
      <c r="AI2" s="786"/>
      <c r="AJ2" s="245"/>
      <c r="AK2" s="307"/>
      <c r="AL2" s="245"/>
      <c r="AM2" s="245"/>
      <c r="AN2" s="245"/>
      <c r="AO2" s="245"/>
      <c r="AP2" s="245"/>
      <c r="AQ2" s="245"/>
      <c r="AR2" s="245"/>
      <c r="AS2" s="245"/>
      <c r="AT2" s="245"/>
      <c r="AU2" s="245"/>
      <c r="AV2" s="245"/>
      <c r="AW2" s="245"/>
      <c r="AX2" s="245"/>
      <c r="AY2" s="245"/>
      <c r="BA2" s="231" t="s">
        <v>115</v>
      </c>
      <c r="BB2" s="231" t="s">
        <v>116</v>
      </c>
      <c r="BC2" s="231" t="s">
        <v>117</v>
      </c>
      <c r="BD2" s="231" t="s">
        <v>118</v>
      </c>
      <c r="BE2" s="231" t="s">
        <v>119</v>
      </c>
      <c r="BF2" s="231" t="s">
        <v>120</v>
      </c>
      <c r="BG2" s="231" t="s">
        <v>121</v>
      </c>
      <c r="BH2" s="231" t="s">
        <v>139</v>
      </c>
      <c r="BI2" s="231" t="s">
        <v>123</v>
      </c>
      <c r="BM2" s="700" t="s">
        <v>115</v>
      </c>
      <c r="BN2" s="701" t="s">
        <v>836</v>
      </c>
      <c r="BO2" s="701" t="s">
        <v>823</v>
      </c>
      <c r="BP2" s="701" t="s">
        <v>139</v>
      </c>
      <c r="BQ2" s="701" t="s">
        <v>824</v>
      </c>
      <c r="BR2" s="702" t="s">
        <v>123</v>
      </c>
    </row>
    <row r="3" spans="1:70" ht="19.5" customHeight="1" thickBot="1" x14ac:dyDescent="0.35">
      <c r="A3" s="245"/>
      <c r="B3" s="331"/>
      <c r="C3" s="331"/>
      <c r="D3" s="248"/>
      <c r="E3" s="248"/>
      <c r="F3" s="245"/>
      <c r="G3" s="245"/>
      <c r="H3" s="245"/>
      <c r="I3" s="245"/>
      <c r="J3" s="245"/>
      <c r="K3" s="273"/>
      <c r="L3" s="273"/>
      <c r="M3" s="273"/>
      <c r="N3" s="245"/>
      <c r="O3" s="245"/>
      <c r="P3" s="245"/>
      <c r="Q3" s="245"/>
      <c r="R3" s="330"/>
      <c r="S3" s="782"/>
      <c r="T3" s="783"/>
      <c r="U3" s="330"/>
      <c r="V3" s="330"/>
      <c r="W3" s="330"/>
      <c r="X3" s="330"/>
      <c r="Y3" s="245"/>
      <c r="Z3" s="787"/>
      <c r="AA3" s="788"/>
      <c r="AB3" s="789"/>
      <c r="AC3" s="245"/>
      <c r="AD3" s="245"/>
      <c r="AE3" s="245"/>
      <c r="AF3" s="245"/>
      <c r="AG3" s="787"/>
      <c r="AH3" s="788"/>
      <c r="AI3" s="789"/>
      <c r="AJ3" s="245"/>
      <c r="AK3" s="307"/>
      <c r="AL3" s="245"/>
      <c r="AM3" s="245"/>
      <c r="AN3" s="245"/>
      <c r="AO3" s="245"/>
      <c r="AP3" s="245"/>
      <c r="AQ3" s="245"/>
      <c r="AR3" s="245"/>
      <c r="AS3" s="245"/>
      <c r="AT3" s="245"/>
      <c r="AU3" s="245"/>
      <c r="AV3" s="245"/>
      <c r="AW3" s="245"/>
      <c r="AX3" s="245"/>
      <c r="AY3" s="245"/>
      <c r="BA3" s="231"/>
      <c r="BB3" s="231"/>
      <c r="BC3" s="231"/>
      <c r="BD3" s="231"/>
      <c r="BE3" s="231"/>
      <c r="BF3" s="231"/>
      <c r="BG3" s="231"/>
      <c r="BH3" s="231"/>
      <c r="BI3" s="231"/>
      <c r="BM3" s="703"/>
      <c r="BN3" s="704"/>
      <c r="BO3" s="704"/>
      <c r="BP3" s="704"/>
      <c r="BQ3" s="704"/>
      <c r="BR3" s="705"/>
    </row>
    <row r="4" spans="1:70" ht="40.700000000000003" customHeight="1" x14ac:dyDescent="0.25">
      <c r="A4" s="245"/>
      <c r="B4" s="790" t="s">
        <v>213</v>
      </c>
      <c r="C4" s="790"/>
      <c r="D4" s="790"/>
      <c r="E4" s="333"/>
      <c r="F4" s="792" t="s">
        <v>186</v>
      </c>
      <c r="G4" s="793"/>
      <c r="H4" s="248"/>
      <c r="I4" s="245"/>
      <c r="J4" s="245"/>
      <c r="K4" s="245"/>
      <c r="L4" s="273"/>
      <c r="M4" s="245"/>
      <c r="N4" s="276"/>
      <c r="O4" s="276"/>
      <c r="P4" s="276"/>
      <c r="Q4" s="329"/>
      <c r="R4" s="671" t="s">
        <v>171</v>
      </c>
      <c r="S4" s="671" t="s">
        <v>305</v>
      </c>
      <c r="T4" s="796" t="s">
        <v>304</v>
      </c>
      <c r="U4" s="796"/>
      <c r="V4" s="796" t="s">
        <v>173</v>
      </c>
      <c r="W4" s="797"/>
      <c r="X4" s="237"/>
      <c r="Y4" s="245"/>
      <c r="Z4" s="366" t="s">
        <v>291</v>
      </c>
      <c r="AA4" s="367"/>
      <c r="AB4" s="368"/>
      <c r="AC4" s="241"/>
      <c r="AD4" s="369" t="s">
        <v>292</v>
      </c>
      <c r="AE4" s="370"/>
      <c r="AF4" s="245"/>
      <c r="AG4" s="963" t="s">
        <v>721</v>
      </c>
      <c r="AH4" s="966" t="s">
        <v>722</v>
      </c>
      <c r="AI4" s="966"/>
      <c r="AJ4" s="966"/>
      <c r="AK4" s="978" t="s">
        <v>723</v>
      </c>
      <c r="AL4" s="978"/>
      <c r="AM4" s="979"/>
      <c r="AN4" s="976" t="s">
        <v>828</v>
      </c>
      <c r="AO4" s="977"/>
      <c r="AP4" s="977"/>
      <c r="AQ4" s="977"/>
      <c r="AR4" s="977"/>
      <c r="AS4" s="977"/>
      <c r="AT4" s="977"/>
      <c r="AU4" s="977"/>
      <c r="AV4" s="977"/>
      <c r="AW4" s="977"/>
      <c r="AX4" s="977"/>
      <c r="AY4" s="977"/>
      <c r="BA4" s="231">
        <v>0</v>
      </c>
      <c r="BB4" s="277">
        <f>Q39</f>
        <v>212.7659574468085</v>
      </c>
      <c r="BC4" s="277">
        <f ca="1">(1-$D$11)*BB4</f>
        <v>106.38297872340425</v>
      </c>
      <c r="BD4" s="277"/>
      <c r="BE4" s="231"/>
      <c r="BF4" s="413">
        <f t="shared" ref="BF4:BF67" ca="1" si="0">IF(ISNUMBER(BA5),BC4+BD4,BC4+BD4+BE4*$D$16)</f>
        <v>106.38297872340425</v>
      </c>
      <c r="BG4" s="278">
        <f ca="1">IF(ISNUMBER(BA4),LN(BF4+$J$39)-LN($J$39),0)</f>
        <v>0.31632022465180309</v>
      </c>
      <c r="BH4" s="231">
        <f ca="1">IF(ISNUMBER(BA4),BG4/(1+$D$7)^BA4,0)</f>
        <v>0.31632022465180309</v>
      </c>
      <c r="BI4" s="231"/>
      <c r="BM4" s="716">
        <v>0</v>
      </c>
      <c r="BN4" s="706">
        <f>$AK$18</f>
        <v>14.976500770909089</v>
      </c>
      <c r="BO4" s="717">
        <f>LN($BN4+$AK$16)-LN($AK$16)</f>
        <v>0.12149657204449404</v>
      </c>
      <c r="BP4" s="707">
        <f ca="1">IF(ISNUMBER(BM4),BO4/(1+$D$7)^BM4,0)</f>
        <v>0.12149657204449404</v>
      </c>
      <c r="BQ4" s="707">
        <f ca="1">BP4/(12/$AK$20)</f>
        <v>5.0623571685205856E-2</v>
      </c>
      <c r="BR4" s="709">
        <f ca="1">BQ4</f>
        <v>5.0623571685205856E-2</v>
      </c>
    </row>
    <row r="5" spans="1:70" ht="15" customHeight="1" thickBot="1" x14ac:dyDescent="0.3">
      <c r="A5" s="245"/>
      <c r="B5" s="791"/>
      <c r="C5" s="791"/>
      <c r="D5" s="791"/>
      <c r="E5" s="332"/>
      <c r="F5" s="794"/>
      <c r="G5" s="795"/>
      <c r="H5" s="255"/>
      <c r="I5" s="255"/>
      <c r="J5" s="245"/>
      <c r="K5" s="245"/>
      <c r="L5" s="245"/>
      <c r="M5" s="245"/>
      <c r="N5" s="245"/>
      <c r="O5" s="245"/>
      <c r="P5" s="245"/>
      <c r="Q5" s="670" t="s">
        <v>189</v>
      </c>
      <c r="R5" s="679">
        <f ca="1">D39/(1+D7)^G14</f>
        <v>0.19281631155046408</v>
      </c>
      <c r="S5" s="679">
        <f ca="1">R5*(1-1/(1+D7)^G17)/(1-1/(1+D7))</f>
        <v>3.0588520548674816</v>
      </c>
      <c r="T5" s="798">
        <f ca="1">S5*G11*G7*G9*G20*G8/G39</f>
        <v>7.165317308635212E-2</v>
      </c>
      <c r="U5" s="798"/>
      <c r="V5" s="799">
        <f ca="1">$G$15*$G$10</f>
        <v>5.2824539999999998E-3</v>
      </c>
      <c r="W5" s="800"/>
      <c r="X5" s="237"/>
      <c r="Y5" s="245"/>
      <c r="Z5" s="354" t="s">
        <v>409</v>
      </c>
      <c r="AA5" s="355"/>
      <c r="AB5" s="356"/>
      <c r="AC5" s="246"/>
      <c r="AD5" s="237"/>
      <c r="AE5" s="243"/>
      <c r="AF5" s="245"/>
      <c r="AG5" s="964"/>
      <c r="AH5" s="980" t="s">
        <v>724</v>
      </c>
      <c r="AI5" s="980"/>
      <c r="AJ5" s="980"/>
      <c r="AK5" s="981" t="s">
        <v>725</v>
      </c>
      <c r="AL5" s="981"/>
      <c r="AM5" s="982"/>
      <c r="AN5" s="983" t="s">
        <v>840</v>
      </c>
      <c r="AO5" s="984"/>
      <c r="AP5" s="984"/>
      <c r="AQ5" s="984"/>
      <c r="AR5" s="984"/>
      <c r="AS5" s="984"/>
      <c r="AT5" s="984"/>
      <c r="AU5" s="984"/>
      <c r="AV5" s="984"/>
      <c r="AW5" s="984"/>
      <c r="AX5" s="984"/>
      <c r="AY5" s="984"/>
      <c r="BA5" s="231">
        <f t="shared" ref="BA5:BA68" ca="1" si="1">IF(BA4&lt;$D$14,BA4+1,"")</f>
        <v>1</v>
      </c>
      <c r="BB5" s="277">
        <f ca="1">BB4-BC4</f>
        <v>106.38297872340425</v>
      </c>
      <c r="BC5" s="277"/>
      <c r="BD5" s="277">
        <f t="shared" ref="BD5:BD68" ca="1" si="2">$D$10*BB5</f>
        <v>11.702127659574467</v>
      </c>
      <c r="BE5" s="277">
        <f ca="1">BB5</f>
        <v>106.38297872340425</v>
      </c>
      <c r="BF5" s="413">
        <f t="shared" ca="1" si="0"/>
        <v>11.702127659574467</v>
      </c>
      <c r="BG5" s="278">
        <f t="shared" ref="BG5:BG68" ca="1" si="3">IF(ISNUMBER(BA5),LN(BF5+$J$39)-LN($J$39),0)</f>
        <v>4.0112287828466542E-2</v>
      </c>
      <c r="BH5" s="231">
        <f t="shared" ref="BH5:BH68" ca="1" si="4">IF(ISNUMBER(BA5),BG5/(1+$D$7)^BA5,0)</f>
        <v>3.847701470356503E-2</v>
      </c>
      <c r="BI5" s="231">
        <f ca="1">SUM(BH5:BH111)</f>
        <v>0.55965981315075719</v>
      </c>
      <c r="BJ5" s="232">
        <f ca="1">SUM(BH5:BH23)</f>
        <v>0.51581900564839833</v>
      </c>
      <c r="BM5" s="716">
        <v>1</v>
      </c>
      <c r="BN5" s="706">
        <f>$AK$18-'NLS Parameters'!D45</f>
        <v>10.873937134545454</v>
      </c>
      <c r="BO5" s="717">
        <f>LN($BN5+$AK$16)-LN($AK$16)</f>
        <v>8.9655380081226532E-2</v>
      </c>
      <c r="BP5" s="707">
        <f t="shared" ref="BP5:BP7" ca="1" si="5">IF(ISNUMBER(BM5),BO5/(1+$D$7)^BM5,0)</f>
        <v>8.6000364586308428E-2</v>
      </c>
      <c r="BQ5" s="707">
        <f ca="1">BP5/(12/$AK$20)</f>
        <v>3.583348524429518E-2</v>
      </c>
      <c r="BR5" s="709">
        <f ca="1">SUM(BQ5)</f>
        <v>3.583348524429518E-2</v>
      </c>
    </row>
    <row r="6" spans="1:70" ht="14.1" customHeight="1" x14ac:dyDescent="0.25">
      <c r="A6" s="245"/>
      <c r="B6" s="241"/>
      <c r="C6" s="809" t="s">
        <v>12</v>
      </c>
      <c r="D6" s="809"/>
      <c r="E6" s="270"/>
      <c r="F6" s="347" t="s">
        <v>13</v>
      </c>
      <c r="G6" s="348"/>
      <c r="H6" s="271"/>
      <c r="I6" s="809" t="s">
        <v>39</v>
      </c>
      <c r="J6" s="809"/>
      <c r="K6" s="271"/>
      <c r="L6" s="810" t="s">
        <v>168</v>
      </c>
      <c r="M6" s="810"/>
      <c r="N6" s="242"/>
      <c r="O6" s="237"/>
      <c r="P6" s="245"/>
      <c r="Q6" s="670" t="s">
        <v>190</v>
      </c>
      <c r="R6" s="679">
        <f ca="1">(M15*M11)/(1+D7)^G14</f>
        <v>0</v>
      </c>
      <c r="S6" s="679">
        <f ca="1">R6*(1-1/(1+D7)^G17)/(1-1/(1+D7))</f>
        <v>0</v>
      </c>
      <c r="T6" s="798">
        <f ca="1">S6*M8*M9*M14*(V39/U39)*G11</f>
        <v>0</v>
      </c>
      <c r="U6" s="798"/>
      <c r="V6" s="799">
        <v>0</v>
      </c>
      <c r="W6" s="811"/>
      <c r="X6" s="237"/>
      <c r="Y6" s="245"/>
      <c r="Z6" s="357" t="s">
        <v>42</v>
      </c>
      <c r="AA6" s="358"/>
      <c r="AB6" s="359">
        <f ca="1">$G$7*$G$8*$G$9*G$20*$J7</f>
        <v>1.0064924999999997E-2</v>
      </c>
      <c r="AC6" s="246"/>
      <c r="AD6" s="681" t="s">
        <v>669</v>
      </c>
      <c r="AE6" s="611">
        <f ca="1">M19</f>
        <v>30</v>
      </c>
      <c r="AF6" s="245"/>
      <c r="AG6" s="964"/>
      <c r="AH6" s="980"/>
      <c r="AI6" s="980"/>
      <c r="AJ6" s="980"/>
      <c r="AK6" s="981"/>
      <c r="AL6" s="981"/>
      <c r="AM6" s="982"/>
      <c r="AN6" s="983"/>
      <c r="AO6" s="984"/>
      <c r="AP6" s="984"/>
      <c r="AQ6" s="984"/>
      <c r="AR6" s="984"/>
      <c r="AS6" s="984"/>
      <c r="AT6" s="984"/>
      <c r="AU6" s="984"/>
      <c r="AV6" s="984"/>
      <c r="AW6" s="984"/>
      <c r="AX6" s="984"/>
      <c r="AY6" s="984"/>
      <c r="BA6" s="231">
        <f t="shared" ca="1" si="1"/>
        <v>2</v>
      </c>
      <c r="BB6" s="277">
        <f t="shared" ref="BB6:BB69" ca="1" si="6">IF(ISNUMBER(BA6),BE5,0)</f>
        <v>106.38297872340425</v>
      </c>
      <c r="BC6" s="277"/>
      <c r="BD6" s="277">
        <f t="shared" ca="1" si="2"/>
        <v>11.702127659574467</v>
      </c>
      <c r="BE6" s="277">
        <f t="shared" ref="BE6:BE69" ca="1" si="7">BB6</f>
        <v>106.38297872340425</v>
      </c>
      <c r="BF6" s="413">
        <f t="shared" ca="1" si="0"/>
        <v>11.702127659574467</v>
      </c>
      <c r="BG6" s="278">
        <f t="shared" ca="1" si="3"/>
        <v>4.0112287828466542E-2</v>
      </c>
      <c r="BH6" s="231">
        <f t="shared" ca="1" si="4"/>
        <v>3.6908407389510817E-2</v>
      </c>
      <c r="BI6" s="231"/>
      <c r="BM6" s="716">
        <v>2</v>
      </c>
      <c r="BN6" s="706">
        <f>$AK$18-'NLS Parameters'!D45</f>
        <v>10.873937134545454</v>
      </c>
      <c r="BO6" s="717">
        <f>LN($BN6+$AK$16)-LN($AK$16)</f>
        <v>8.9655380081226532E-2</v>
      </c>
      <c r="BP6" s="707">
        <f t="shared" ca="1" si="5"/>
        <v>8.2494354519240698E-2</v>
      </c>
      <c r="BQ6" s="707">
        <f ca="1">BP6/(12/$AK$20)</f>
        <v>3.4372647716350291E-2</v>
      </c>
      <c r="BR6" s="709">
        <f ca="1">SUM(BQ5:BQ6)</f>
        <v>7.020613296064547E-2</v>
      </c>
    </row>
    <row r="7" spans="1:70" ht="26.1" customHeight="1" thickBot="1" x14ac:dyDescent="0.3">
      <c r="A7" s="245"/>
      <c r="B7" s="801" t="s">
        <v>45</v>
      </c>
      <c r="C7" s="299" t="s">
        <v>0</v>
      </c>
      <c r="D7" s="139">
        <f ca="1">Summary!U17</f>
        <v>4.2500000000000003E-2</v>
      </c>
      <c r="E7" s="233"/>
      <c r="F7" s="319" t="s">
        <v>662</v>
      </c>
      <c r="G7" s="335">
        <f ca="1">Summary!AA17</f>
        <v>0.71153846153846145</v>
      </c>
      <c r="H7" s="235"/>
      <c r="I7" s="319" t="s">
        <v>8</v>
      </c>
      <c r="J7" s="378">
        <f ca="1">Summary!AJ17</f>
        <v>0.24959999999999999</v>
      </c>
      <c r="K7" s="312"/>
      <c r="L7" s="319" t="s">
        <v>175</v>
      </c>
      <c r="M7" s="322"/>
      <c r="N7" s="243"/>
      <c r="O7" s="237"/>
      <c r="P7" s="245"/>
      <c r="Q7" s="246"/>
      <c r="R7" s="237"/>
      <c r="S7" s="237"/>
      <c r="T7" s="237"/>
      <c r="U7" s="316"/>
      <c r="V7" s="237"/>
      <c r="W7" s="243"/>
      <c r="X7" s="237"/>
      <c r="Y7" s="245"/>
      <c r="Z7" s="357" t="s">
        <v>32</v>
      </c>
      <c r="AA7" s="358"/>
      <c r="AB7" s="359">
        <f ca="1">$G$7*$G$8*$G$9*G$20*$J8</f>
        <v>7.8188660156249968E-3</v>
      </c>
      <c r="AC7" s="246"/>
      <c r="AD7" s="681" t="s">
        <v>411</v>
      </c>
      <c r="AE7" s="611">
        <f ca="1">G10</f>
        <v>3</v>
      </c>
      <c r="AF7" s="245"/>
      <c r="AG7" s="964"/>
      <c r="AH7" s="1019" t="s">
        <v>726</v>
      </c>
      <c r="AI7" s="1020"/>
      <c r="AJ7" s="1020"/>
      <c r="AK7" s="1021" t="s">
        <v>727</v>
      </c>
      <c r="AL7" s="1021"/>
      <c r="AM7" s="1022"/>
      <c r="AN7" s="993" t="s">
        <v>847</v>
      </c>
      <c r="AO7" s="983"/>
      <c r="AP7" s="983"/>
      <c r="AQ7" s="983"/>
      <c r="AR7" s="983"/>
      <c r="AS7" s="983"/>
      <c r="AT7" s="983"/>
      <c r="AU7" s="983"/>
      <c r="AV7" s="983"/>
      <c r="AW7" s="983"/>
      <c r="AX7" s="983"/>
      <c r="AY7" s="983"/>
      <c r="BA7" s="231">
        <f t="shared" ca="1" si="1"/>
        <v>3</v>
      </c>
      <c r="BB7" s="277">
        <f ca="1">IF(ISNUMBER(BA7),BE6,0)</f>
        <v>106.38297872340425</v>
      </c>
      <c r="BC7" s="277"/>
      <c r="BD7" s="277">
        <f t="shared" ca="1" si="2"/>
        <v>11.702127659574467</v>
      </c>
      <c r="BE7" s="277">
        <f t="shared" ca="1" si="7"/>
        <v>106.38297872340425</v>
      </c>
      <c r="BF7" s="413">
        <f t="shared" ca="1" si="0"/>
        <v>11.702127659574467</v>
      </c>
      <c r="BG7" s="278">
        <f t="shared" ca="1" si="3"/>
        <v>4.0112287828466542E-2</v>
      </c>
      <c r="BH7" s="231">
        <f t="shared" ca="1" si="4"/>
        <v>3.5403748095454025E-2</v>
      </c>
      <c r="BI7" s="231"/>
      <c r="BM7" s="718">
        <v>3</v>
      </c>
      <c r="BN7" s="719">
        <f>$AK$18-'NLS Parameters'!D45</f>
        <v>10.873937134545454</v>
      </c>
      <c r="BO7" s="720">
        <f>LN($BN7+$AK$16)-LN($AK$16)</f>
        <v>8.9655380081226532E-2</v>
      </c>
      <c r="BP7" s="708">
        <f t="shared" ca="1" si="5"/>
        <v>7.9131275318216496E-2</v>
      </c>
      <c r="BQ7" s="708">
        <f ca="1">BP7/(12/$AK$20)</f>
        <v>3.2971364715923539E-2</v>
      </c>
      <c r="BR7" s="710">
        <f ca="1">SUM(BQ5:BQ7)</f>
        <v>0.103177497676569</v>
      </c>
    </row>
    <row r="8" spans="1:70" ht="24.95" customHeight="1" thickBot="1" x14ac:dyDescent="0.3">
      <c r="A8" s="245"/>
      <c r="B8" s="801"/>
      <c r="C8" s="293"/>
      <c r="D8" s="293"/>
      <c r="E8" s="272"/>
      <c r="F8" s="321" t="s">
        <v>6</v>
      </c>
      <c r="G8" s="244">
        <f ca="1">Summary!AB17</f>
        <v>0.32499999999999996</v>
      </c>
      <c r="H8" s="236"/>
      <c r="I8" s="674" t="s">
        <v>9</v>
      </c>
      <c r="J8" s="376">
        <f ca="1">Summary!AK17</f>
        <v>0.19389999999999999</v>
      </c>
      <c r="K8" s="313"/>
      <c r="L8" s="674" t="s">
        <v>169</v>
      </c>
      <c r="M8" s="675"/>
      <c r="N8" s="243"/>
      <c r="O8" s="237"/>
      <c r="P8" s="245"/>
      <c r="Q8" s="802" t="s">
        <v>191</v>
      </c>
      <c r="R8" s="237"/>
      <c r="S8" s="680" t="s">
        <v>306</v>
      </c>
      <c r="T8" s="803" t="s">
        <v>34</v>
      </c>
      <c r="U8" s="803"/>
      <c r="V8" s="803" t="s">
        <v>152</v>
      </c>
      <c r="W8" s="804"/>
      <c r="X8" s="237"/>
      <c r="Y8" s="245"/>
      <c r="Z8" s="357" t="s">
        <v>38</v>
      </c>
      <c r="AA8" s="358"/>
      <c r="AB8" s="359">
        <f ca="1">$G$7*$G$8*$G$9*G$20</f>
        <v>4.0324218749999988E-2</v>
      </c>
      <c r="AC8" s="371"/>
      <c r="AD8" s="372" t="s">
        <v>668</v>
      </c>
      <c r="AE8" s="373">
        <f ca="1">(AE7*M19)/S5</f>
        <v>29.422802536914151</v>
      </c>
      <c r="AF8" s="245"/>
      <c r="AG8" s="964"/>
      <c r="AH8" s="967" t="s">
        <v>728</v>
      </c>
      <c r="AI8" s="968"/>
      <c r="AJ8" s="968"/>
      <c r="AK8" s="1023" t="s">
        <v>854</v>
      </c>
      <c r="AL8" s="1023"/>
      <c r="AM8" s="1024"/>
      <c r="AN8" s="976" t="s">
        <v>855</v>
      </c>
      <c r="AO8" s="977"/>
      <c r="AP8" s="977"/>
      <c r="AQ8" s="977"/>
      <c r="AR8" s="977"/>
      <c r="AS8" s="977"/>
      <c r="AT8" s="977"/>
      <c r="AU8" s="977"/>
      <c r="AV8" s="977"/>
      <c r="AW8" s="977"/>
      <c r="AX8" s="977"/>
      <c r="AY8" s="977"/>
      <c r="BA8" s="231">
        <f t="shared" ca="1" si="1"/>
        <v>4</v>
      </c>
      <c r="BB8" s="277">
        <f t="shared" ca="1" si="6"/>
        <v>106.38297872340425</v>
      </c>
      <c r="BC8" s="277"/>
      <c r="BD8" s="277">
        <f t="shared" ca="1" si="2"/>
        <v>11.702127659574467</v>
      </c>
      <c r="BE8" s="277">
        <f t="shared" ca="1" si="7"/>
        <v>106.38297872340425</v>
      </c>
      <c r="BF8" s="413">
        <f t="shared" ca="1" si="0"/>
        <v>11.702127659574467</v>
      </c>
      <c r="BG8" s="278">
        <f t="shared" ca="1" si="3"/>
        <v>4.0112287828466542E-2</v>
      </c>
      <c r="BH8" s="231">
        <f t="shared" ca="1" si="4"/>
        <v>3.3960429827773649E-2</v>
      </c>
      <c r="BI8" s="231"/>
      <c r="BM8" s="721"/>
      <c r="BN8" s="721" t="s">
        <v>837</v>
      </c>
      <c r="BO8" s="721" t="s">
        <v>506</v>
      </c>
    </row>
    <row r="9" spans="1:70" ht="33" customHeight="1" x14ac:dyDescent="0.25">
      <c r="A9" s="245"/>
      <c r="B9" s="801"/>
      <c r="C9" s="805" t="s">
        <v>14</v>
      </c>
      <c r="D9" s="805"/>
      <c r="E9" s="233"/>
      <c r="F9" s="674" t="s">
        <v>146</v>
      </c>
      <c r="G9" s="675">
        <f ca="1">Summary!AC17</f>
        <v>0.77500000000000002</v>
      </c>
      <c r="H9" s="236"/>
      <c r="I9" s="674" t="s">
        <v>164</v>
      </c>
      <c r="J9" s="376">
        <f ca="1">Summary!AL17</f>
        <v>1</v>
      </c>
      <c r="K9" s="313"/>
      <c r="L9" s="674" t="s">
        <v>170</v>
      </c>
      <c r="M9" s="675"/>
      <c r="N9" s="243"/>
      <c r="O9" s="237"/>
      <c r="P9" s="245"/>
      <c r="Q9" s="802"/>
      <c r="R9" s="676" t="s">
        <v>44</v>
      </c>
      <c r="S9" s="677">
        <f ca="1">J11*($T$5*AB14*J14*J7+$V$5*J7)</f>
        <v>1.5554537341810329E-2</v>
      </c>
      <c r="T9" s="806">
        <f ca="1">S9/(J17/J9)</f>
        <v>2.1019645056500443E-2</v>
      </c>
      <c r="U9" s="806"/>
      <c r="V9" s="807">
        <f ca="1">($G$10*$M$19)/T9</f>
        <v>4281.7088375223057</v>
      </c>
      <c r="W9" s="808"/>
      <c r="X9" s="237"/>
      <c r="Y9" s="384"/>
      <c r="Z9" s="812" t="s">
        <v>288</v>
      </c>
      <c r="AA9" s="813"/>
      <c r="AB9" s="408"/>
      <c r="AC9" s="245"/>
      <c r="AE9" s="385"/>
      <c r="AF9" s="245"/>
      <c r="AG9" s="964"/>
      <c r="AH9" s="967" t="s">
        <v>729</v>
      </c>
      <c r="AI9" s="968"/>
      <c r="AJ9" s="968"/>
      <c r="AK9" s="974">
        <v>2</v>
      </c>
      <c r="AL9" s="974"/>
      <c r="AM9" s="975"/>
      <c r="AN9" s="976" t="s">
        <v>730</v>
      </c>
      <c r="AO9" s="977"/>
      <c r="AP9" s="977"/>
      <c r="AQ9" s="977"/>
      <c r="AR9" s="977"/>
      <c r="AS9" s="977"/>
      <c r="AT9" s="977"/>
      <c r="AU9" s="977"/>
      <c r="AV9" s="977"/>
      <c r="AW9" s="977"/>
      <c r="AX9" s="977"/>
      <c r="AY9" s="977"/>
      <c r="BA9" s="231">
        <f t="shared" ca="1" si="1"/>
        <v>5</v>
      </c>
      <c r="BB9" s="277">
        <f t="shared" ca="1" si="6"/>
        <v>106.38297872340425</v>
      </c>
      <c r="BC9" s="277"/>
      <c r="BD9" s="277">
        <f t="shared" ca="1" si="2"/>
        <v>11.702127659574467</v>
      </c>
      <c r="BE9" s="277">
        <f t="shared" ca="1" si="7"/>
        <v>106.38297872340425</v>
      </c>
      <c r="BF9" s="413">
        <f t="shared" ca="1" si="0"/>
        <v>11.702127659574467</v>
      </c>
      <c r="BG9" s="278">
        <f t="shared" ca="1" si="3"/>
        <v>4.0112287828466542E-2</v>
      </c>
      <c r="BH9" s="231">
        <f t="shared" ca="1" si="4"/>
        <v>3.2575951873164172E-2</v>
      </c>
      <c r="BI9" s="231"/>
      <c r="BM9" s="721"/>
      <c r="BN9" s="721"/>
      <c r="BO9" s="721"/>
    </row>
    <row r="10" spans="1:70" ht="39.75" customHeight="1" x14ac:dyDescent="0.25">
      <c r="A10" s="245"/>
      <c r="B10" s="801"/>
      <c r="C10" s="290" t="s">
        <v>3</v>
      </c>
      <c r="D10" s="291">
        <f ca="1">Summary!V17</f>
        <v>0.11</v>
      </c>
      <c r="E10" s="283"/>
      <c r="F10" s="674" t="s">
        <v>323</v>
      </c>
      <c r="G10" s="466">
        <f ca="1">Summary!AD17</f>
        <v>3</v>
      </c>
      <c r="H10" s="284"/>
      <c r="I10" s="674" t="s">
        <v>165</v>
      </c>
      <c r="J10" s="376">
        <f ca="1">Summary!AM17</f>
        <v>1</v>
      </c>
      <c r="K10" s="313"/>
      <c r="L10" s="674" t="s">
        <v>184</v>
      </c>
      <c r="M10" s="675"/>
      <c r="N10" s="243"/>
      <c r="O10" s="237"/>
      <c r="P10" s="245"/>
      <c r="Q10" s="802"/>
      <c r="R10" s="676" t="s">
        <v>496</v>
      </c>
      <c r="S10" s="677">
        <f ca="1">J20*($T$5*AB15*J15*J8+$V$5*J8)</f>
        <v>1.3528463065899308E-2</v>
      </c>
      <c r="T10" s="806">
        <f ca="1">S10/(J18/J10)</f>
        <v>1.4912327012675603E-2</v>
      </c>
      <c r="U10" s="806"/>
      <c r="V10" s="807">
        <f ca="1">($G$10*$M$19)/T10</f>
        <v>6035.2753747620509</v>
      </c>
      <c r="W10" s="808"/>
      <c r="X10" s="237"/>
      <c r="Y10" s="245"/>
      <c r="Z10" s="814" t="s">
        <v>450</v>
      </c>
      <c r="AA10" s="815"/>
      <c r="AB10" s="374"/>
      <c r="AC10" s="245"/>
      <c r="AD10" s="384"/>
      <c r="AE10" s="385"/>
      <c r="AF10" s="245"/>
      <c r="AG10" s="964"/>
      <c r="AH10" s="967" t="s">
        <v>731</v>
      </c>
      <c r="AI10" s="968"/>
      <c r="AJ10" s="968"/>
      <c r="AK10" s="974">
        <v>1</v>
      </c>
      <c r="AL10" s="974"/>
      <c r="AM10" s="975"/>
      <c r="AN10" s="976" t="s">
        <v>825</v>
      </c>
      <c r="AO10" s="977"/>
      <c r="AP10" s="977"/>
      <c r="AQ10" s="977"/>
      <c r="AR10" s="977"/>
      <c r="AS10" s="977"/>
      <c r="AT10" s="977"/>
      <c r="AU10" s="977"/>
      <c r="AV10" s="977"/>
      <c r="AW10" s="977"/>
      <c r="AX10" s="977"/>
      <c r="AY10" s="977"/>
      <c r="BA10" s="231">
        <f t="shared" ca="1" si="1"/>
        <v>6</v>
      </c>
      <c r="BB10" s="277">
        <f t="shared" ca="1" si="6"/>
        <v>106.38297872340425</v>
      </c>
      <c r="BC10" s="277"/>
      <c r="BD10" s="277">
        <f t="shared" ca="1" si="2"/>
        <v>11.702127659574467</v>
      </c>
      <c r="BE10" s="277">
        <f t="shared" ca="1" si="7"/>
        <v>106.38297872340425</v>
      </c>
      <c r="BF10" s="413">
        <f t="shared" ca="1" si="0"/>
        <v>11.702127659574467</v>
      </c>
      <c r="BG10" s="278">
        <f t="shared" ca="1" si="3"/>
        <v>4.0112287828466542E-2</v>
      </c>
      <c r="BH10" s="231">
        <f t="shared" ca="1" si="4"/>
        <v>3.1247915465864914E-2</v>
      </c>
      <c r="BI10" s="231"/>
      <c r="BJ10" s="498"/>
      <c r="BM10" s="721"/>
      <c r="BN10" s="721"/>
      <c r="BO10" s="721"/>
    </row>
    <row r="11" spans="1:70" ht="33" customHeight="1" x14ac:dyDescent="0.25">
      <c r="A11" s="245"/>
      <c r="B11" s="801"/>
      <c r="C11" s="296" t="s">
        <v>5</v>
      </c>
      <c r="D11" s="297">
        <f ca="1">Summary!W17</f>
        <v>0.5</v>
      </c>
      <c r="E11" s="234"/>
      <c r="F11" s="674" t="s">
        <v>301</v>
      </c>
      <c r="G11" s="466">
        <f ca="1">Summary!AE17</f>
        <v>1.4</v>
      </c>
      <c r="H11" s="237"/>
      <c r="I11" s="674" t="s">
        <v>322</v>
      </c>
      <c r="J11" s="376">
        <f ca="1">Summary!AN17</f>
        <v>0.81</v>
      </c>
      <c r="K11" s="313"/>
      <c r="L11" s="674" t="s">
        <v>183</v>
      </c>
      <c r="M11" s="675"/>
      <c r="N11" s="243"/>
      <c r="O11" s="245"/>
      <c r="P11" s="245"/>
      <c r="Q11" s="802"/>
      <c r="R11" s="676" t="s">
        <v>38</v>
      </c>
      <c r="S11" s="677" t="s">
        <v>408</v>
      </c>
      <c r="T11" s="806">
        <f ca="1">M18*((1/S39)*(1/M20)*T5*AB16+(1/R39)*M19*G10)</f>
        <v>3.1500515768023235E-2</v>
      </c>
      <c r="U11" s="806">
        <f ca="1">(1/S39)*(1/M20)*T5+1/R39*(G10*S5)</f>
        <v>1.3272725124300961E-2</v>
      </c>
      <c r="V11" s="807">
        <f ca="1">($G$10*$M$19)/T11</f>
        <v>2857.0960762287164</v>
      </c>
      <c r="W11" s="808"/>
      <c r="X11" s="237"/>
      <c r="Y11" s="245"/>
      <c r="Z11" s="246"/>
      <c r="AA11" s="237"/>
      <c r="AB11" s="243"/>
      <c r="AC11" s="245"/>
      <c r="AD11" s="245"/>
      <c r="AE11" s="245"/>
      <c r="AF11" s="245"/>
      <c r="AG11" s="964"/>
      <c r="AH11" s="967" t="s">
        <v>732</v>
      </c>
      <c r="AI11" s="968"/>
      <c r="AJ11" s="968"/>
      <c r="AK11" s="998">
        <f>'NLS Parameters'!D94+0.06</f>
        <v>0.75064371543638164</v>
      </c>
      <c r="AL11" s="998"/>
      <c r="AM11" s="999"/>
      <c r="AN11" s="993" t="s">
        <v>861</v>
      </c>
      <c r="AO11" s="983"/>
      <c r="AP11" s="983"/>
      <c r="AQ11" s="983"/>
      <c r="AR11" s="983"/>
      <c r="AS11" s="983"/>
      <c r="AT11" s="983"/>
      <c r="AU11" s="983"/>
      <c r="AV11" s="983"/>
      <c r="AW11" s="983"/>
      <c r="AX11" s="983"/>
      <c r="AY11" s="983"/>
      <c r="BA11" s="231">
        <f t="shared" ca="1" si="1"/>
        <v>7</v>
      </c>
      <c r="BB11" s="277">
        <f t="shared" ca="1" si="6"/>
        <v>106.38297872340425</v>
      </c>
      <c r="BC11" s="277"/>
      <c r="BD11" s="277">
        <f t="shared" ca="1" si="2"/>
        <v>11.702127659574467</v>
      </c>
      <c r="BE11" s="277">
        <f t="shared" ca="1" si="7"/>
        <v>106.38297872340425</v>
      </c>
      <c r="BF11" s="413">
        <f t="shared" ca="1" si="0"/>
        <v>11.702127659574467</v>
      </c>
      <c r="BG11" s="278">
        <f t="shared" ca="1" si="3"/>
        <v>4.0112287828466542E-2</v>
      </c>
      <c r="BH11" s="231">
        <f t="shared" ca="1" si="4"/>
        <v>2.9974019631525094E-2</v>
      </c>
      <c r="BI11" s="231"/>
    </row>
    <row r="12" spans="1:70" ht="22.7" customHeight="1" x14ac:dyDescent="0.25">
      <c r="A12" s="245"/>
      <c r="B12" s="246"/>
      <c r="C12" s="240"/>
      <c r="D12" s="239"/>
      <c r="E12" s="233"/>
      <c r="F12" s="240"/>
      <c r="G12" s="377"/>
      <c r="H12" s="240"/>
      <c r="I12" s="240"/>
      <c r="J12" s="377"/>
      <c r="K12" s="237"/>
      <c r="L12" s="822" t="s">
        <v>176</v>
      </c>
      <c r="M12" s="824"/>
      <c r="N12" s="243"/>
      <c r="O12" s="237"/>
      <c r="P12" s="245"/>
      <c r="Q12" s="292"/>
      <c r="R12" s="826" t="s">
        <v>174</v>
      </c>
      <c r="S12" s="828">
        <f ca="1">T6</f>
        <v>0</v>
      </c>
      <c r="T12" s="806" t="e">
        <f ca="1">M12*S12/(M7/M10)</f>
        <v>#DIV/0!</v>
      </c>
      <c r="U12" s="806"/>
      <c r="V12" s="831" t="s">
        <v>408</v>
      </c>
      <c r="W12" s="832"/>
      <c r="X12" s="237"/>
      <c r="Y12" s="245"/>
      <c r="Z12" s="360" t="s">
        <v>287</v>
      </c>
      <c r="AA12" s="355"/>
      <c r="AB12" s="361"/>
      <c r="AC12" s="245"/>
      <c r="AD12" s="245"/>
      <c r="AE12" s="245"/>
      <c r="AF12" s="245"/>
      <c r="AG12" s="964"/>
      <c r="AH12" s="967" t="s">
        <v>733</v>
      </c>
      <c r="AI12" s="968"/>
      <c r="AJ12" s="968"/>
      <c r="AK12" s="998">
        <v>0.8</v>
      </c>
      <c r="AL12" s="998"/>
      <c r="AM12" s="999"/>
      <c r="AN12" s="977" t="s">
        <v>734</v>
      </c>
      <c r="AO12" s="1000"/>
      <c r="AP12" s="1000"/>
      <c r="AQ12" s="1000"/>
      <c r="AR12" s="1000"/>
      <c r="AS12" s="1000"/>
      <c r="AT12" s="1000"/>
      <c r="AU12" s="1000"/>
      <c r="AV12" s="1000"/>
      <c r="AW12" s="1000"/>
      <c r="AX12" s="1000"/>
      <c r="AY12" s="1000"/>
      <c r="BA12" s="231">
        <f t="shared" ca="1" si="1"/>
        <v>8</v>
      </c>
      <c r="BB12" s="277">
        <f t="shared" ca="1" si="6"/>
        <v>106.38297872340425</v>
      </c>
      <c r="BC12" s="277"/>
      <c r="BD12" s="277">
        <f t="shared" ca="1" si="2"/>
        <v>11.702127659574467</v>
      </c>
      <c r="BE12" s="277">
        <f t="shared" ca="1" si="7"/>
        <v>106.38297872340425</v>
      </c>
      <c r="BF12" s="413">
        <f t="shared" ca="1" si="0"/>
        <v>11.702127659574467</v>
      </c>
      <c r="BG12" s="278">
        <f t="shared" ca="1" si="3"/>
        <v>4.0112287828466542E-2</v>
      </c>
      <c r="BH12" s="231">
        <f t="shared" ca="1" si="4"/>
        <v>2.8752057200503691E-2</v>
      </c>
      <c r="BI12" s="231"/>
    </row>
    <row r="13" spans="1:70" ht="15" customHeight="1" thickBot="1" x14ac:dyDescent="0.3">
      <c r="A13" s="245"/>
      <c r="B13" s="246"/>
      <c r="C13" s="240"/>
      <c r="D13" s="239"/>
      <c r="E13" s="233"/>
      <c r="F13" s="240"/>
      <c r="G13" s="377"/>
      <c r="H13" s="237"/>
      <c r="I13" s="240"/>
      <c r="J13" s="377"/>
      <c r="K13" s="237"/>
      <c r="L13" s="823"/>
      <c r="M13" s="825"/>
      <c r="N13" s="243"/>
      <c r="O13" s="237"/>
      <c r="P13" s="245"/>
      <c r="Q13" s="292"/>
      <c r="R13" s="827"/>
      <c r="S13" s="829"/>
      <c r="T13" s="830"/>
      <c r="U13" s="830"/>
      <c r="V13" s="833"/>
      <c r="W13" s="834"/>
      <c r="X13" s="237"/>
      <c r="Y13" s="245"/>
      <c r="Z13" s="360"/>
      <c r="AA13" s="355"/>
      <c r="AB13" s="361"/>
      <c r="AC13" s="245"/>
      <c r="AD13" s="245"/>
      <c r="AE13" s="245"/>
      <c r="AF13" s="245"/>
      <c r="AG13" s="964"/>
      <c r="AH13" s="967"/>
      <c r="AI13" s="968"/>
      <c r="AJ13" s="968"/>
      <c r="AK13" s="998"/>
      <c r="AL13" s="998"/>
      <c r="AM13" s="999"/>
      <c r="AN13" s="977"/>
      <c r="AO13" s="1000"/>
      <c r="AP13" s="1000"/>
      <c r="AQ13" s="1000"/>
      <c r="AR13" s="1000"/>
      <c r="AS13" s="1000"/>
      <c r="AT13" s="1000"/>
      <c r="AU13" s="1000"/>
      <c r="AV13" s="1000"/>
      <c r="AW13" s="1000"/>
      <c r="AX13" s="1000"/>
      <c r="AY13" s="1000"/>
      <c r="BA13" s="231">
        <f t="shared" ca="1" si="1"/>
        <v>9</v>
      </c>
      <c r="BB13" s="277">
        <f t="shared" ca="1" si="6"/>
        <v>106.38297872340425</v>
      </c>
      <c r="BC13" s="277"/>
      <c r="BD13" s="277">
        <f t="shared" ca="1" si="2"/>
        <v>11.702127659574467</v>
      </c>
      <c r="BE13" s="277">
        <f t="shared" ca="1" si="7"/>
        <v>106.38297872340425</v>
      </c>
      <c r="BF13" s="413">
        <f t="shared" ca="1" si="0"/>
        <v>11.702127659574467</v>
      </c>
      <c r="BG13" s="278">
        <f t="shared" ca="1" si="3"/>
        <v>4.0112287828466542E-2</v>
      </c>
      <c r="BH13" s="231">
        <f t="shared" ca="1" si="4"/>
        <v>2.7579910983696585E-2</v>
      </c>
      <c r="BI13" s="231"/>
    </row>
    <row r="14" spans="1:70" ht="35.1" customHeight="1" x14ac:dyDescent="0.25">
      <c r="A14" s="245"/>
      <c r="B14" s="892" t="s">
        <v>214</v>
      </c>
      <c r="C14" s="836" t="s">
        <v>1</v>
      </c>
      <c r="D14" s="838">
        <f ca="1">Summary!X17</f>
        <v>20</v>
      </c>
      <c r="E14" s="233"/>
      <c r="F14" s="668" t="s">
        <v>560</v>
      </c>
      <c r="G14" s="528">
        <f ca="1">Summary!AF17</f>
        <v>8</v>
      </c>
      <c r="H14" s="237"/>
      <c r="I14" s="673" t="s">
        <v>11</v>
      </c>
      <c r="J14" s="379">
        <f ca="1">Summary!AP17</f>
        <v>1</v>
      </c>
      <c r="K14" s="237"/>
      <c r="L14" s="674" t="s">
        <v>178</v>
      </c>
      <c r="M14" s="675"/>
      <c r="N14" s="243"/>
      <c r="O14" s="237"/>
      <c r="P14" s="245"/>
      <c r="Q14" s="840" t="s">
        <v>410</v>
      </c>
      <c r="R14" s="671" t="s">
        <v>148</v>
      </c>
      <c r="S14" s="671" t="s">
        <v>35</v>
      </c>
      <c r="T14" s="796" t="s">
        <v>36</v>
      </c>
      <c r="U14" s="796"/>
      <c r="V14" s="796" t="s">
        <v>34</v>
      </c>
      <c r="W14" s="797"/>
      <c r="X14" s="237"/>
      <c r="Y14" s="245"/>
      <c r="Z14" s="357" t="s">
        <v>42</v>
      </c>
      <c r="AA14" s="358"/>
      <c r="AB14" s="362">
        <f ca="1">IF($AB$10="Yes",MAX(AB6,$AB$9),AB6)/AB6</f>
        <v>1</v>
      </c>
      <c r="AC14" s="245"/>
      <c r="AD14" s="245"/>
      <c r="AE14" s="245"/>
      <c r="AF14" s="245"/>
      <c r="AG14" s="965"/>
      <c r="AH14" s="994" t="s">
        <v>735</v>
      </c>
      <c r="AI14" s="995"/>
      <c r="AJ14" s="995"/>
      <c r="AK14" s="996">
        <v>0.5</v>
      </c>
      <c r="AL14" s="996"/>
      <c r="AM14" s="997"/>
      <c r="AN14" s="976" t="s">
        <v>736</v>
      </c>
      <c r="AO14" s="977"/>
      <c r="AP14" s="977"/>
      <c r="AQ14" s="977"/>
      <c r="AR14" s="977"/>
      <c r="AS14" s="977"/>
      <c r="AT14" s="977"/>
      <c r="AU14" s="977"/>
      <c r="AV14" s="977"/>
      <c r="AW14" s="977"/>
      <c r="AX14" s="977"/>
      <c r="AY14" s="977"/>
      <c r="BA14" s="231">
        <f t="shared" ca="1" si="1"/>
        <v>10</v>
      </c>
      <c r="BB14" s="277">
        <f t="shared" ca="1" si="6"/>
        <v>106.38297872340425</v>
      </c>
      <c r="BC14" s="277"/>
      <c r="BD14" s="277">
        <f t="shared" ca="1" si="2"/>
        <v>11.702127659574467</v>
      </c>
      <c r="BE14" s="277">
        <f t="shared" ca="1" si="7"/>
        <v>106.38297872340425</v>
      </c>
      <c r="BF14" s="413">
        <f t="shared" ca="1" si="0"/>
        <v>11.702127659574467</v>
      </c>
      <c r="BG14" s="278">
        <f t="shared" ca="1" si="3"/>
        <v>4.0112287828466542E-2</v>
      </c>
      <c r="BH14" s="231">
        <f t="shared" ca="1" si="4"/>
        <v>2.6455550104265309E-2</v>
      </c>
      <c r="BI14" s="231"/>
    </row>
    <row r="15" spans="1:70" ht="21" customHeight="1" thickBot="1" x14ac:dyDescent="0.3">
      <c r="A15" s="245"/>
      <c r="B15" s="892"/>
      <c r="C15" s="837"/>
      <c r="D15" s="839"/>
      <c r="E15" s="234"/>
      <c r="F15" s="836" t="s">
        <v>2</v>
      </c>
      <c r="G15" s="816">
        <f ca="1">Summary!AG17</f>
        <v>1.7608179999999999E-3</v>
      </c>
      <c r="H15" s="237"/>
      <c r="I15" s="818" t="s">
        <v>10</v>
      </c>
      <c r="J15" s="820">
        <f ca="1">Summary!AQ17</f>
        <v>0.9</v>
      </c>
      <c r="K15" s="314"/>
      <c r="L15" s="320" t="s">
        <v>181</v>
      </c>
      <c r="M15" s="334"/>
      <c r="N15" s="243"/>
      <c r="O15" s="237"/>
      <c r="P15" s="245"/>
      <c r="Q15" s="802"/>
      <c r="R15" s="678">
        <f ca="1">BI5</f>
        <v>0.55965981315075719</v>
      </c>
      <c r="S15" s="678">
        <f ca="1">BH4</f>
        <v>0.31632022465180309</v>
      </c>
      <c r="T15" s="835">
        <f ca="1">R15+S15</f>
        <v>0.87598003780256029</v>
      </c>
      <c r="U15" s="835"/>
      <c r="V15" s="806">
        <f ca="1">T15/('GW medians'!Q39/'GW medians'!D19)</f>
        <v>3.4089639151124438E-3</v>
      </c>
      <c r="W15" s="893"/>
      <c r="X15" s="237"/>
      <c r="Y15" s="384"/>
      <c r="Z15" s="357" t="s">
        <v>32</v>
      </c>
      <c r="AA15" s="358"/>
      <c r="AB15" s="362">
        <f ca="1">IF($AB$10="Yes",MAX(AB7,$AB$9),AB7)/AB7</f>
        <v>1</v>
      </c>
      <c r="AC15" s="245"/>
      <c r="AD15" s="245"/>
      <c r="AE15" s="245"/>
      <c r="AF15" s="245"/>
      <c r="AG15" s="969" t="s">
        <v>737</v>
      </c>
      <c r="AH15" s="970" t="s">
        <v>27</v>
      </c>
      <c r="AI15" s="971"/>
      <c r="AJ15" s="971"/>
      <c r="AK15" s="1027">
        <f>'NLS Parameters'!D9</f>
        <v>4</v>
      </c>
      <c r="AL15" s="1027"/>
      <c r="AM15" s="1028"/>
      <c r="AN15" s="976" t="s">
        <v>826</v>
      </c>
      <c r="AO15" s="977"/>
      <c r="AP15" s="977"/>
      <c r="AQ15" s="977"/>
      <c r="AR15" s="977"/>
      <c r="AS15" s="977"/>
      <c r="AT15" s="977"/>
      <c r="AU15" s="977"/>
      <c r="AV15" s="977"/>
      <c r="AW15" s="977"/>
      <c r="AX15" s="977"/>
      <c r="AY15" s="977"/>
      <c r="BA15" s="231">
        <f t="shared" ca="1" si="1"/>
        <v>11</v>
      </c>
      <c r="BB15" s="277">
        <f t="shared" ca="1" si="6"/>
        <v>106.38297872340425</v>
      </c>
      <c r="BC15" s="277"/>
      <c r="BD15" s="277">
        <f t="shared" ca="1" si="2"/>
        <v>11.702127659574467</v>
      </c>
      <c r="BE15" s="277">
        <f t="shared" ca="1" si="7"/>
        <v>106.38297872340425</v>
      </c>
      <c r="BF15" s="413">
        <f t="shared" ca="1" si="0"/>
        <v>11.702127659574467</v>
      </c>
      <c r="BG15" s="278">
        <f t="shared" ca="1" si="3"/>
        <v>4.0112287828466542E-2</v>
      </c>
      <c r="BH15" s="231">
        <f t="shared" ca="1" si="4"/>
        <v>2.5377026478911567E-2</v>
      </c>
      <c r="BI15" s="231"/>
    </row>
    <row r="16" spans="1:70" ht="21" customHeight="1" thickBot="1" x14ac:dyDescent="0.3">
      <c r="A16" s="245"/>
      <c r="B16" s="892"/>
      <c r="C16" s="841" t="s">
        <v>507</v>
      </c>
      <c r="D16" s="842">
        <f ca="1">Summary!Y17</f>
        <v>0.17499999999999999</v>
      </c>
      <c r="E16" s="234"/>
      <c r="F16" s="837"/>
      <c r="G16" s="817"/>
      <c r="H16" s="237"/>
      <c r="I16" s="819"/>
      <c r="J16" s="821"/>
      <c r="K16" s="314"/>
      <c r="N16" s="243"/>
      <c r="O16" s="237"/>
      <c r="P16" s="245"/>
      <c r="Q16" s="669" t="s">
        <v>417</v>
      </c>
      <c r="R16" s="412"/>
      <c r="S16" s="672" t="s">
        <v>33</v>
      </c>
      <c r="T16" s="845" t="s">
        <v>32</v>
      </c>
      <c r="U16" s="846"/>
      <c r="V16" s="672" t="s">
        <v>38</v>
      </c>
      <c r="W16" s="427" t="s">
        <v>48</v>
      </c>
      <c r="X16" s="237"/>
      <c r="Y16" s="384"/>
      <c r="Z16" s="363" t="s">
        <v>38</v>
      </c>
      <c r="AA16" s="364"/>
      <c r="AB16" s="365">
        <f ca="1">IF($AB$10="Yes",MAX(AB8,$AB$9),AB8)/AB8</f>
        <v>1</v>
      </c>
      <c r="AC16" s="245"/>
      <c r="AD16" s="245"/>
      <c r="AE16" s="245"/>
      <c r="AF16" s="245"/>
      <c r="AG16" s="964"/>
      <c r="AH16" s="985" t="s">
        <v>738</v>
      </c>
      <c r="AI16" s="986"/>
      <c r="AJ16" s="986"/>
      <c r="AK16" s="1029">
        <f>'NLS Parameters'!E65*AK20</f>
        <v>115.93020374999998</v>
      </c>
      <c r="AL16" s="1029"/>
      <c r="AM16" s="1030"/>
      <c r="AN16" s="976" t="s">
        <v>827</v>
      </c>
      <c r="AO16" s="977"/>
      <c r="AP16" s="977"/>
      <c r="AQ16" s="977"/>
      <c r="AR16" s="977"/>
      <c r="AS16" s="977"/>
      <c r="AT16" s="977"/>
      <c r="AU16" s="977"/>
      <c r="AV16" s="977"/>
      <c r="AW16" s="977"/>
      <c r="AX16" s="977"/>
      <c r="AY16" s="977"/>
      <c r="BA16" s="231">
        <f t="shared" ca="1" si="1"/>
        <v>12</v>
      </c>
      <c r="BB16" s="277">
        <f t="shared" ca="1" si="6"/>
        <v>106.38297872340425</v>
      </c>
      <c r="BC16" s="277"/>
      <c r="BD16" s="277">
        <f t="shared" ca="1" si="2"/>
        <v>11.702127659574467</v>
      </c>
      <c r="BE16" s="277">
        <f t="shared" ca="1" si="7"/>
        <v>106.38297872340425</v>
      </c>
      <c r="BF16" s="413">
        <f t="shared" ca="1" si="0"/>
        <v>11.702127659574467</v>
      </c>
      <c r="BG16" s="278">
        <f t="shared" ca="1" si="3"/>
        <v>4.0112287828466542E-2</v>
      </c>
      <c r="BH16" s="231">
        <f t="shared" ca="1" si="4"/>
        <v>2.4342471442601026E-2</v>
      </c>
      <c r="BI16" s="231"/>
    </row>
    <row r="17" spans="1:62" ht="21" customHeight="1" x14ac:dyDescent="0.25">
      <c r="A17" s="245"/>
      <c r="B17" s="892"/>
      <c r="C17" s="836"/>
      <c r="D17" s="843"/>
      <c r="E17" s="234"/>
      <c r="F17" s="841" t="s">
        <v>216</v>
      </c>
      <c r="G17" s="847">
        <f ca="1">Summary!AH17</f>
        <v>25</v>
      </c>
      <c r="H17" s="237"/>
      <c r="I17" s="294" t="s">
        <v>28</v>
      </c>
      <c r="J17" s="381">
        <f ca="1">Summary!AR17</f>
        <v>0.74</v>
      </c>
      <c r="K17" s="315"/>
      <c r="L17" s="850" t="s">
        <v>38</v>
      </c>
      <c r="M17" s="850"/>
      <c r="N17" s="243"/>
      <c r="O17" s="237"/>
      <c r="P17" s="245"/>
      <c r="Q17" s="670"/>
      <c r="R17" s="410" t="s">
        <v>414</v>
      </c>
      <c r="S17" s="453">
        <f ca="1">$T9/$T$9</f>
        <v>1</v>
      </c>
      <c r="T17" s="851">
        <f ca="1">$T9/$T$10</f>
        <v>1.4095482910637334</v>
      </c>
      <c r="U17" s="852"/>
      <c r="V17" s="453">
        <f ca="1">$T9/$T$11</f>
        <v>0.66727939349608612</v>
      </c>
      <c r="W17" s="454">
        <f ca="1">$T9/$V$15</f>
        <v>6.1659922427800513</v>
      </c>
      <c r="X17" s="237"/>
      <c r="Y17" s="384"/>
      <c r="Z17" s="245"/>
      <c r="AA17" s="245"/>
      <c r="AB17" s="245"/>
      <c r="AC17" s="245"/>
      <c r="AD17" s="245"/>
      <c r="AE17" s="245"/>
      <c r="AF17" s="245"/>
      <c r="AG17" s="964"/>
      <c r="AH17" s="989" t="s">
        <v>843</v>
      </c>
      <c r="AI17" s="990"/>
      <c r="AJ17" s="990"/>
      <c r="AK17" s="991">
        <f>IF(AK7='NLS Parameters'!D6,0,'NLS Parameters'!F52*-1)</f>
        <v>3.9118300842653445E-3</v>
      </c>
      <c r="AL17" s="991"/>
      <c r="AM17" s="992"/>
      <c r="AN17" s="983" t="s">
        <v>874</v>
      </c>
      <c r="AO17" s="983"/>
      <c r="AP17" s="983"/>
      <c r="AQ17" s="983"/>
      <c r="AR17" s="983"/>
      <c r="AS17" s="983"/>
      <c r="AT17" s="983"/>
      <c r="AU17" s="983"/>
      <c r="AV17" s="983"/>
      <c r="AW17" s="983"/>
      <c r="AX17" s="983"/>
      <c r="AY17" s="983"/>
      <c r="BA17" s="231">
        <f t="shared" ca="1" si="1"/>
        <v>13</v>
      </c>
      <c r="BB17" s="277">
        <f t="shared" ca="1" si="6"/>
        <v>106.38297872340425</v>
      </c>
      <c r="BC17" s="277"/>
      <c r="BD17" s="277">
        <f t="shared" ca="1" si="2"/>
        <v>11.702127659574467</v>
      </c>
      <c r="BE17" s="277">
        <f t="shared" ca="1" si="7"/>
        <v>106.38297872340425</v>
      </c>
      <c r="BF17" s="413">
        <f t="shared" ca="1" si="0"/>
        <v>11.702127659574467</v>
      </c>
      <c r="BG17" s="278">
        <f t="shared" ca="1" si="3"/>
        <v>4.0112287828466542E-2</v>
      </c>
      <c r="BH17" s="231">
        <f t="shared" ca="1" si="4"/>
        <v>2.3350092510888276E-2</v>
      </c>
      <c r="BI17" s="231"/>
    </row>
    <row r="18" spans="1:62" ht="18" customHeight="1" x14ac:dyDescent="0.25">
      <c r="A18" s="245"/>
      <c r="B18" s="892"/>
      <c r="C18" s="837"/>
      <c r="D18" s="844"/>
      <c r="E18" s="234"/>
      <c r="F18" s="836"/>
      <c r="G18" s="848"/>
      <c r="H18" s="237"/>
      <c r="I18" s="853" t="s">
        <v>7</v>
      </c>
      <c r="J18" s="882">
        <f ca="1">Summary!AS17</f>
        <v>0.90720000000000001</v>
      </c>
      <c r="K18" s="315"/>
      <c r="L18" s="674" t="s">
        <v>519</v>
      </c>
      <c r="M18" s="137">
        <f ca="1">Summary!AT17</f>
        <v>0.86</v>
      </c>
      <c r="N18" s="243"/>
      <c r="O18" s="237"/>
      <c r="P18" s="245"/>
      <c r="Q18" s="670"/>
      <c r="R18" s="884" t="s">
        <v>415</v>
      </c>
      <c r="S18" s="885">
        <f ca="1">$T10/$T$9</f>
        <v>0.70944713731328601</v>
      </c>
      <c r="T18" s="858">
        <f ca="1">$T10/$T$10</f>
        <v>1</v>
      </c>
      <c r="U18" s="859"/>
      <c r="V18" s="885">
        <f ca="1">$T10/$T$11</f>
        <v>0.47339945550394402</v>
      </c>
      <c r="W18" s="890">
        <f ca="1">$T10/$V$15</f>
        <v>4.3744455453362354</v>
      </c>
      <c r="X18" s="237"/>
      <c r="Y18" s="384"/>
      <c r="Z18" s="245"/>
      <c r="AA18" s="245"/>
      <c r="AB18" s="245"/>
      <c r="AC18" s="245"/>
      <c r="AD18" s="245"/>
      <c r="AE18" s="245"/>
      <c r="AF18" s="245"/>
      <c r="AG18" s="964"/>
      <c r="AH18" s="989" t="s">
        <v>739</v>
      </c>
      <c r="AI18" s="990"/>
      <c r="AJ18" s="990"/>
      <c r="AK18" s="1029">
        <f>('NLS Parameters'!D18*'NLS Parameters'!D10-HLOOKUP(AK8,'NLS Parameters'!D23:F24,2,FALSE))/AK15</f>
        <v>14.976500770909089</v>
      </c>
      <c r="AL18" s="1029"/>
      <c r="AM18" s="1030"/>
      <c r="AN18" s="993" t="s">
        <v>835</v>
      </c>
      <c r="AO18" s="983"/>
      <c r="AP18" s="983"/>
      <c r="AQ18" s="983"/>
      <c r="AR18" s="983"/>
      <c r="AS18" s="983"/>
      <c r="AT18" s="983"/>
      <c r="AU18" s="983"/>
      <c r="AV18" s="983"/>
      <c r="AW18" s="983"/>
      <c r="AX18" s="983"/>
      <c r="AY18" s="983"/>
      <c r="BA18" s="231">
        <f t="shared" ca="1" si="1"/>
        <v>14</v>
      </c>
      <c r="BB18" s="277">
        <f t="shared" ca="1" si="6"/>
        <v>106.38297872340425</v>
      </c>
      <c r="BC18" s="277"/>
      <c r="BD18" s="277">
        <f t="shared" ca="1" si="2"/>
        <v>11.702127659574467</v>
      </c>
      <c r="BE18" s="277">
        <f t="shared" ca="1" si="7"/>
        <v>106.38297872340425</v>
      </c>
      <c r="BF18" s="413">
        <f t="shared" ca="1" si="0"/>
        <v>11.702127659574467</v>
      </c>
      <c r="BG18" s="278">
        <f t="shared" ca="1" si="3"/>
        <v>4.0112287828466542E-2</v>
      </c>
      <c r="BH18" s="231">
        <f t="shared" ca="1" si="4"/>
        <v>2.239817027423336E-2</v>
      </c>
      <c r="BI18" s="231"/>
    </row>
    <row r="19" spans="1:62" ht="24" customHeight="1" x14ac:dyDescent="0.25">
      <c r="A19" s="245"/>
      <c r="B19" s="892"/>
      <c r="C19" s="836" t="s">
        <v>19</v>
      </c>
      <c r="D19" s="856">
        <f ca="1">Summary!Z17</f>
        <v>0.82799999999999996</v>
      </c>
      <c r="E19" s="234"/>
      <c r="F19" s="837"/>
      <c r="G19" s="849"/>
      <c r="H19" s="237"/>
      <c r="I19" s="854"/>
      <c r="J19" s="883"/>
      <c r="K19" s="315"/>
      <c r="L19" s="674" t="s">
        <v>520</v>
      </c>
      <c r="M19" s="506">
        <f ca="1">Summary!AU17</f>
        <v>30</v>
      </c>
      <c r="N19" s="243"/>
      <c r="O19" s="237"/>
      <c r="P19" s="245"/>
      <c r="Q19" s="670"/>
      <c r="R19" s="884"/>
      <c r="S19" s="886"/>
      <c r="T19" s="860"/>
      <c r="U19" s="861"/>
      <c r="V19" s="886"/>
      <c r="W19" s="891"/>
      <c r="X19" s="237"/>
      <c r="Y19" s="384"/>
      <c r="Z19" s="245"/>
      <c r="AA19" s="245"/>
      <c r="AB19" s="245"/>
      <c r="AC19" s="245"/>
      <c r="AD19" s="245"/>
      <c r="AE19" s="245"/>
      <c r="AF19" s="245"/>
      <c r="AG19" s="964"/>
      <c r="AH19" s="985" t="s">
        <v>56</v>
      </c>
      <c r="AI19" s="986"/>
      <c r="AJ19" s="986"/>
      <c r="AK19" s="987">
        <f>IF(AK7='NLS Parameters'!D6, 'NLS Parameters'!D13, 'NLS Parameters'!D14)/'NLS Parameters'!D15/AK15</f>
        <v>2.6967092379591575</v>
      </c>
      <c r="AL19" s="987"/>
      <c r="AM19" s="988"/>
      <c r="AN19" s="976" t="s">
        <v>839</v>
      </c>
      <c r="AO19" s="977"/>
      <c r="AP19" s="977"/>
      <c r="AQ19" s="977"/>
      <c r="AR19" s="977"/>
      <c r="AS19" s="977"/>
      <c r="AT19" s="977"/>
      <c r="AU19" s="977"/>
      <c r="AV19" s="977"/>
      <c r="AW19" s="977"/>
      <c r="AX19" s="977"/>
      <c r="AY19" s="977"/>
      <c r="BA19" s="231">
        <f t="shared" ca="1" si="1"/>
        <v>15</v>
      </c>
      <c r="BB19" s="277">
        <f t="shared" ca="1" si="6"/>
        <v>106.38297872340425</v>
      </c>
      <c r="BC19" s="277"/>
      <c r="BD19" s="277">
        <f t="shared" ca="1" si="2"/>
        <v>11.702127659574467</v>
      </c>
      <c r="BE19" s="277">
        <f t="shared" ca="1" si="7"/>
        <v>106.38297872340425</v>
      </c>
      <c r="BF19" s="413">
        <f t="shared" ca="1" si="0"/>
        <v>11.702127659574467</v>
      </c>
      <c r="BG19" s="278">
        <f t="shared" ca="1" si="3"/>
        <v>4.0112287828466542E-2</v>
      </c>
      <c r="BH19" s="231">
        <f t="shared" ca="1" si="4"/>
        <v>2.1485055418928881E-2</v>
      </c>
      <c r="BI19" s="231"/>
    </row>
    <row r="20" spans="1:62" ht="35.1" customHeight="1" x14ac:dyDescent="0.25">
      <c r="A20" s="245"/>
      <c r="B20" s="892"/>
      <c r="C20" s="855"/>
      <c r="D20" s="857"/>
      <c r="E20" s="234"/>
      <c r="F20" s="308" t="s">
        <v>199</v>
      </c>
      <c r="G20" s="306">
        <f ca="1">Summary!AI17</f>
        <v>0.22500000000000001</v>
      </c>
      <c r="H20" s="237"/>
      <c r="I20" s="305" t="s">
        <v>321</v>
      </c>
      <c r="J20" s="304">
        <f ca="1">Summary!AO17</f>
        <v>1</v>
      </c>
      <c r="K20" s="314"/>
      <c r="L20" s="320" t="s">
        <v>433</v>
      </c>
      <c r="M20" s="334">
        <f ca="1">Summary!AV17</f>
        <v>1.75</v>
      </c>
      <c r="N20" s="243"/>
      <c r="O20" s="237"/>
      <c r="P20" s="237"/>
      <c r="Q20" s="670"/>
      <c r="R20" s="410" t="s">
        <v>416</v>
      </c>
      <c r="S20" s="453">
        <f ca="1">$T11/$T$9</f>
        <v>1.4986226305606205</v>
      </c>
      <c r="T20" s="851">
        <f ca="1">$T11/$T$10</f>
        <v>2.1123809678561591</v>
      </c>
      <c r="U20" s="852"/>
      <c r="V20" s="453">
        <f ca="1">$T11/$T$11</f>
        <v>1</v>
      </c>
      <c r="W20" s="454">
        <f ca="1">$T11/$V$15</f>
        <v>9.2404955148914212</v>
      </c>
      <c r="X20" s="237"/>
      <c r="Y20" s="245"/>
      <c r="Z20" s="245"/>
      <c r="AA20" s="245"/>
      <c r="AB20" s="245"/>
      <c r="AC20" s="245"/>
      <c r="AD20" s="245"/>
      <c r="AE20" s="245"/>
      <c r="AF20" s="245"/>
      <c r="AG20" s="965"/>
      <c r="AH20" s="1025" t="s">
        <v>740</v>
      </c>
      <c r="AI20" s="1026"/>
      <c r="AJ20" s="1026"/>
      <c r="AK20" s="684">
        <f>IF(AM20="N/A",'NLS Parameters'!D21,AM20)</f>
        <v>5</v>
      </c>
      <c r="AL20" s="685" t="s">
        <v>741</v>
      </c>
      <c r="AM20" s="686" t="s">
        <v>742</v>
      </c>
      <c r="AN20" s="976" t="s">
        <v>829</v>
      </c>
      <c r="AO20" s="977"/>
      <c r="AP20" s="977"/>
      <c r="AQ20" s="977"/>
      <c r="AR20" s="977"/>
      <c r="AS20" s="977"/>
      <c r="AT20" s="977"/>
      <c r="AU20" s="977"/>
      <c r="AV20" s="977"/>
      <c r="AW20" s="977"/>
      <c r="AX20" s="977"/>
      <c r="AY20" s="977"/>
      <c r="BA20" s="231">
        <f t="shared" ca="1" si="1"/>
        <v>16</v>
      </c>
      <c r="BB20" s="277">
        <f t="shared" ca="1" si="6"/>
        <v>106.38297872340425</v>
      </c>
      <c r="BC20" s="277"/>
      <c r="BD20" s="277">
        <f t="shared" ca="1" si="2"/>
        <v>11.702127659574467</v>
      </c>
      <c r="BE20" s="277">
        <f t="shared" ca="1" si="7"/>
        <v>106.38297872340425</v>
      </c>
      <c r="BF20" s="413">
        <f t="shared" ca="1" si="0"/>
        <v>11.702127659574467</v>
      </c>
      <c r="BG20" s="278">
        <f t="shared" ca="1" si="3"/>
        <v>4.0112287828466542E-2</v>
      </c>
      <c r="BH20" s="231">
        <f t="shared" ca="1" si="4"/>
        <v>2.0609165869476146E-2</v>
      </c>
      <c r="BI20" s="231"/>
    </row>
    <row r="21" spans="1:62" ht="21" customHeight="1" thickBot="1" x14ac:dyDescent="0.3">
      <c r="A21" s="245"/>
      <c r="B21" s="300"/>
      <c r="C21" s="238"/>
      <c r="D21" s="238"/>
      <c r="E21" s="238"/>
      <c r="F21" s="301"/>
      <c r="G21" s="302"/>
      <c r="H21" s="238"/>
      <c r="I21" s="238"/>
      <c r="J21" s="238"/>
      <c r="K21" s="238"/>
      <c r="L21" s="317"/>
      <c r="M21" s="238"/>
      <c r="N21" s="303"/>
      <c r="O21" s="237"/>
      <c r="P21" s="245"/>
      <c r="Q21" s="683"/>
      <c r="R21" s="411" t="s">
        <v>418</v>
      </c>
      <c r="S21" s="455">
        <f ca="1">$V15/$T$9</f>
        <v>0.16217989913479547</v>
      </c>
      <c r="T21" s="862">
        <f ca="1">$V15/$T$10</f>
        <v>0.22860039967033957</v>
      </c>
      <c r="U21" s="863"/>
      <c r="V21" s="455">
        <f ca="1">$V15/$T$11</f>
        <v>0.10821930473192275</v>
      </c>
      <c r="W21" s="456">
        <f ca="1">$V15/$V$15</f>
        <v>1</v>
      </c>
      <c r="X21" s="237"/>
      <c r="Y21" s="245"/>
      <c r="Z21" s="245"/>
      <c r="AA21" s="245"/>
      <c r="AB21" s="245"/>
      <c r="AC21" s="245"/>
      <c r="AD21" s="245"/>
      <c r="AE21" s="245"/>
      <c r="AF21" s="245"/>
      <c r="AG21" s="969" t="s">
        <v>743</v>
      </c>
      <c r="AH21" s="972" t="s">
        <v>744</v>
      </c>
      <c r="AI21" s="1031" t="s">
        <v>745</v>
      </c>
      <c r="AJ21" s="1031" t="s">
        <v>746</v>
      </c>
      <c r="AK21" s="1031" t="s">
        <v>747</v>
      </c>
      <c r="AL21" s="972" t="s">
        <v>36</v>
      </c>
      <c r="AM21" s="1032" t="s">
        <v>34</v>
      </c>
      <c r="AN21" s="245"/>
      <c r="AO21" s="245"/>
      <c r="AP21" s="245"/>
      <c r="AQ21" s="245"/>
      <c r="AR21" s="245"/>
      <c r="AS21" s="245"/>
      <c r="AT21" s="245"/>
      <c r="AU21" s="245"/>
      <c r="AV21" s="245"/>
      <c r="AW21" s="245"/>
      <c r="AX21" s="245"/>
      <c r="AY21" s="245"/>
      <c r="BA21" s="231">
        <f t="shared" ca="1" si="1"/>
        <v>17</v>
      </c>
      <c r="BB21" s="277">
        <f t="shared" ca="1" si="6"/>
        <v>106.38297872340425</v>
      </c>
      <c r="BC21" s="277"/>
      <c r="BD21" s="277">
        <f t="shared" ca="1" si="2"/>
        <v>11.702127659574467</v>
      </c>
      <c r="BE21" s="277">
        <f t="shared" ca="1" si="7"/>
        <v>106.38297872340425</v>
      </c>
      <c r="BF21" s="413">
        <f t="shared" ca="1" si="0"/>
        <v>11.702127659574467</v>
      </c>
      <c r="BG21" s="278">
        <f t="shared" ca="1" si="3"/>
        <v>4.0112287828466542E-2</v>
      </c>
      <c r="BH21" s="231">
        <f t="shared" ca="1" si="4"/>
        <v>1.9768984047459134E-2</v>
      </c>
      <c r="BI21" s="231"/>
    </row>
    <row r="22" spans="1:62" ht="9.75" customHeight="1" thickBot="1" x14ac:dyDescent="0.3">
      <c r="A22" s="245"/>
      <c r="B22" s="245"/>
      <c r="C22" s="245"/>
      <c r="D22" s="245"/>
      <c r="E22" s="245"/>
      <c r="F22" s="245"/>
      <c r="G22" s="245"/>
      <c r="H22" s="245"/>
      <c r="I22" s="245"/>
      <c r="J22" s="245"/>
      <c r="K22" s="245"/>
      <c r="L22" s="245"/>
      <c r="M22" s="245"/>
      <c r="N22" s="245"/>
      <c r="O22" s="245"/>
      <c r="P22" s="245"/>
      <c r="Q22" s="237"/>
      <c r="R22" s="237"/>
      <c r="S22" s="237"/>
      <c r="T22" s="237"/>
      <c r="U22" s="237"/>
      <c r="V22" s="237"/>
      <c r="W22" s="237"/>
      <c r="Y22" s="245"/>
      <c r="Z22" s="245"/>
      <c r="AA22" s="245"/>
      <c r="AB22" s="245"/>
      <c r="AC22" s="245"/>
      <c r="AD22" s="245"/>
      <c r="AE22" s="245"/>
      <c r="AF22" s="245"/>
      <c r="AG22" s="964"/>
      <c r="AH22" s="973"/>
      <c r="AI22" s="803"/>
      <c r="AJ22" s="803"/>
      <c r="AK22" s="803"/>
      <c r="AL22" s="973"/>
      <c r="AM22" s="1033"/>
      <c r="AN22" s="245"/>
      <c r="AO22" s="245"/>
      <c r="AP22" s="245"/>
      <c r="AQ22" s="245"/>
      <c r="AR22" s="245"/>
      <c r="AS22" s="245"/>
      <c r="AT22" s="245"/>
      <c r="AU22" s="245"/>
      <c r="AV22" s="245"/>
      <c r="AW22" s="245"/>
      <c r="AX22" s="245"/>
      <c r="AY22" s="245"/>
      <c r="BA22" s="231">
        <f t="shared" ca="1" si="1"/>
        <v>18</v>
      </c>
      <c r="BB22" s="277">
        <f t="shared" ca="1" si="6"/>
        <v>106.38297872340425</v>
      </c>
      <c r="BC22" s="277"/>
      <c r="BD22" s="277">
        <f t="shared" ca="1" si="2"/>
        <v>11.702127659574467</v>
      </c>
      <c r="BE22" s="277">
        <f t="shared" ca="1" si="7"/>
        <v>106.38297872340425</v>
      </c>
      <c r="BF22" s="413">
        <f t="shared" ca="1" si="0"/>
        <v>11.702127659574467</v>
      </c>
      <c r="BG22" s="278">
        <f t="shared" ca="1" si="3"/>
        <v>4.0112287828466542E-2</v>
      </c>
      <c r="BH22" s="231">
        <f t="shared" ca="1" si="4"/>
        <v>1.8963054242167033E-2</v>
      </c>
      <c r="BI22" s="231"/>
    </row>
    <row r="23" spans="1:62" ht="10.5" customHeight="1" x14ac:dyDescent="0.25">
      <c r="A23" s="245"/>
      <c r="B23" s="245"/>
      <c r="C23" s="245"/>
      <c r="D23" s="245"/>
      <c r="E23" s="237"/>
      <c r="F23" s="864" t="s">
        <v>34</v>
      </c>
      <c r="G23" s="256" t="s">
        <v>33</v>
      </c>
      <c r="H23" s="257"/>
      <c r="I23" s="450">
        <f ca="1">T9</f>
        <v>2.1019645056500443E-2</v>
      </c>
      <c r="J23" s="258"/>
      <c r="K23" s="259"/>
      <c r="L23" s="262"/>
      <c r="M23" s="262"/>
      <c r="N23" s="262"/>
      <c r="O23" s="262"/>
      <c r="P23" s="237"/>
      <c r="Q23" s="784" t="s">
        <v>286</v>
      </c>
      <c r="R23" s="868" t="s">
        <v>521</v>
      </c>
      <c r="S23" s="869"/>
      <c r="T23" s="352"/>
      <c r="U23" s="872" t="s">
        <v>282</v>
      </c>
      <c r="V23" s="872"/>
      <c r="W23" s="873"/>
      <c r="Y23" s="245"/>
      <c r="Z23" s="245"/>
      <c r="AA23" s="245"/>
      <c r="AB23" s="245"/>
      <c r="AC23" s="245"/>
      <c r="AD23" s="245"/>
      <c r="AE23" s="245"/>
      <c r="AF23" s="245"/>
      <c r="AG23" s="964"/>
      <c r="AH23" s="973"/>
      <c r="AI23" s="803"/>
      <c r="AJ23" s="803"/>
      <c r="AK23" s="803"/>
      <c r="AL23" s="973"/>
      <c r="AM23" s="1033"/>
      <c r="AN23" s="245"/>
      <c r="AO23" s="245"/>
      <c r="AP23" s="245"/>
      <c r="AQ23" s="245"/>
      <c r="AR23" s="245"/>
      <c r="AS23" s="245"/>
      <c r="AT23" s="245"/>
      <c r="AU23" s="245"/>
      <c r="AV23" s="245"/>
      <c r="AW23" s="245"/>
      <c r="AX23" s="245"/>
      <c r="AY23" s="245"/>
      <c r="BA23" s="231">
        <f t="shared" ca="1" si="1"/>
        <v>19</v>
      </c>
      <c r="BB23" s="277">
        <f t="shared" ca="1" si="6"/>
        <v>106.38297872340425</v>
      </c>
      <c r="BC23" s="277"/>
      <c r="BD23" s="277">
        <f t="shared" ca="1" si="2"/>
        <v>11.702127659574467</v>
      </c>
      <c r="BE23" s="277">
        <f t="shared" ca="1" si="7"/>
        <v>106.38297872340425</v>
      </c>
      <c r="BF23" s="413">
        <f t="shared" ca="1" si="0"/>
        <v>11.702127659574467</v>
      </c>
      <c r="BG23" s="278">
        <f t="shared" ca="1" si="3"/>
        <v>4.0112287828466542E-2</v>
      </c>
      <c r="BH23" s="231">
        <f t="shared" ca="1" si="4"/>
        <v>1.8189980088409621E-2</v>
      </c>
      <c r="BI23" s="231"/>
    </row>
    <row r="24" spans="1:62" ht="12" customHeight="1" thickBot="1" x14ac:dyDescent="0.3">
      <c r="A24" s="245"/>
      <c r="B24" s="245"/>
      <c r="C24" s="245"/>
      <c r="D24" s="245"/>
      <c r="E24" s="237"/>
      <c r="F24" s="865"/>
      <c r="G24" s="260" t="s">
        <v>32</v>
      </c>
      <c r="H24" s="261"/>
      <c r="I24" s="451">
        <f ca="1">T10</f>
        <v>1.4912327012675603E-2</v>
      </c>
      <c r="J24" s="262"/>
      <c r="K24" s="263"/>
      <c r="L24" s="262"/>
      <c r="M24" s="262"/>
      <c r="N24" s="262"/>
      <c r="O24" s="262"/>
      <c r="P24" s="237"/>
      <c r="Q24" s="866"/>
      <c r="R24" s="870"/>
      <c r="S24" s="871"/>
      <c r="T24" s="353"/>
      <c r="U24" s="874"/>
      <c r="V24" s="874"/>
      <c r="W24" s="875"/>
      <c r="Y24" s="245"/>
      <c r="Z24" s="245"/>
      <c r="AA24" s="245"/>
      <c r="AB24" s="245"/>
      <c r="AC24" s="245"/>
      <c r="AD24" s="245"/>
      <c r="AE24" s="245"/>
      <c r="AF24" s="245"/>
      <c r="AG24" s="964"/>
      <c r="AH24" s="973"/>
      <c r="AI24" s="803"/>
      <c r="AJ24" s="803"/>
      <c r="AK24" s="803"/>
      <c r="AL24" s="973"/>
      <c r="AM24" s="1033"/>
      <c r="AN24" s="245"/>
      <c r="AO24" s="245"/>
      <c r="AP24" s="245"/>
      <c r="AQ24" s="245"/>
      <c r="AR24" s="245"/>
      <c r="AS24" s="245"/>
      <c r="AT24" s="245"/>
      <c r="AU24" s="245"/>
      <c r="AV24" s="245"/>
      <c r="AW24" s="245"/>
      <c r="AX24" s="245"/>
      <c r="AY24" s="245"/>
      <c r="BA24" s="231">
        <f t="shared" ca="1" si="1"/>
        <v>20</v>
      </c>
      <c r="BB24" s="277">
        <f t="shared" ca="1" si="6"/>
        <v>106.38297872340425</v>
      </c>
      <c r="BC24" s="277"/>
      <c r="BD24" s="277">
        <f t="shared" ca="1" si="2"/>
        <v>11.702127659574467</v>
      </c>
      <c r="BE24" s="277">
        <f t="shared" ca="1" si="7"/>
        <v>106.38297872340425</v>
      </c>
      <c r="BF24" s="413">
        <f t="shared" ca="1" si="0"/>
        <v>30.319148936170208</v>
      </c>
      <c r="BG24" s="278">
        <f t="shared" ca="1" si="3"/>
        <v>0.10078590914042618</v>
      </c>
      <c r="BH24" s="231">
        <f t="shared" ca="1" si="4"/>
        <v>4.38408075023589E-2</v>
      </c>
      <c r="BI24" s="231"/>
    </row>
    <row r="25" spans="1:62" ht="10.7" customHeight="1" x14ac:dyDescent="0.25">
      <c r="A25" s="245"/>
      <c r="B25" s="792" t="s">
        <v>188</v>
      </c>
      <c r="C25" s="878"/>
      <c r="D25" s="878"/>
      <c r="E25" s="878"/>
      <c r="F25" s="865"/>
      <c r="G25" s="260" t="s">
        <v>168</v>
      </c>
      <c r="H25" s="261"/>
      <c r="I25" s="451" t="str">
        <f ca="1">IFERROR(T12,"-")</f>
        <v>-</v>
      </c>
      <c r="J25" s="262"/>
      <c r="K25" s="263"/>
      <c r="L25" s="262"/>
      <c r="M25" s="262"/>
      <c r="N25" s="262"/>
      <c r="O25" s="262"/>
      <c r="P25" s="237"/>
      <c r="Q25" s="866"/>
      <c r="R25" s="344" t="s">
        <v>38</v>
      </c>
      <c r="S25" s="457">
        <f ca="1">(R39/S39)*T5</f>
        <v>64.319748451529563</v>
      </c>
      <c r="T25" s="458"/>
      <c r="U25" s="459"/>
      <c r="V25" s="459"/>
      <c r="W25" s="460"/>
      <c r="Y25" s="245"/>
      <c r="Z25" s="245"/>
      <c r="AA25" s="245"/>
      <c r="AB25" s="245"/>
      <c r="AC25" s="245"/>
      <c r="AD25" s="245"/>
      <c r="AE25" s="245"/>
      <c r="AF25" s="245"/>
      <c r="AG25" s="964"/>
      <c r="AH25" s="973"/>
      <c r="AI25" s="803"/>
      <c r="AJ25" s="803"/>
      <c r="AK25" s="803"/>
      <c r="AL25" s="973"/>
      <c r="AM25" s="1033"/>
      <c r="AN25" s="245"/>
      <c r="AO25" s="687"/>
      <c r="AP25" s="245"/>
      <c r="AQ25" s="245"/>
      <c r="AR25" s="245"/>
      <c r="AS25" s="245"/>
      <c r="AT25" s="245"/>
      <c r="AU25" s="245"/>
      <c r="AV25" s="245"/>
      <c r="AW25" s="245"/>
      <c r="AX25" s="245"/>
      <c r="AY25" s="245"/>
      <c r="BA25" s="231" t="str">
        <f t="shared" ca="1" si="1"/>
        <v/>
      </c>
      <c r="BB25" s="277">
        <f t="shared" ca="1" si="6"/>
        <v>0</v>
      </c>
      <c r="BC25" s="277"/>
      <c r="BD25" s="277">
        <f t="shared" ca="1" si="2"/>
        <v>0</v>
      </c>
      <c r="BE25" s="277">
        <f t="shared" ca="1" si="7"/>
        <v>0</v>
      </c>
      <c r="BF25" s="413">
        <f t="shared" ca="1" si="0"/>
        <v>0</v>
      </c>
      <c r="BG25" s="278">
        <f t="shared" ca="1" si="3"/>
        <v>0</v>
      </c>
      <c r="BH25" s="231">
        <f t="shared" ca="1" si="4"/>
        <v>0</v>
      </c>
      <c r="BI25" s="231"/>
    </row>
    <row r="26" spans="1:62" ht="12.75" customHeight="1" x14ac:dyDescent="0.25">
      <c r="A26" s="245"/>
      <c r="B26" s="879"/>
      <c r="C26" s="880"/>
      <c r="D26" s="880"/>
      <c r="E26" s="880"/>
      <c r="F26" s="865"/>
      <c r="G26" s="260" t="s">
        <v>14</v>
      </c>
      <c r="H26" s="261"/>
      <c r="I26" s="499">
        <f ca="1">V15</f>
        <v>3.4089639151124438E-3</v>
      </c>
      <c r="J26" s="262"/>
      <c r="K26" s="263"/>
      <c r="L26" s="262"/>
      <c r="M26" s="262"/>
      <c r="N26" s="262"/>
      <c r="O26" s="262"/>
      <c r="P26" s="237"/>
      <c r="Q26" s="866"/>
      <c r="R26" s="344" t="s">
        <v>42</v>
      </c>
      <c r="S26" s="457">
        <f ca="1">T9*$R$39</f>
        <v>72.739167201419605</v>
      </c>
      <c r="T26" s="458"/>
      <c r="U26" s="459" t="s">
        <v>42</v>
      </c>
      <c r="V26" s="459"/>
      <c r="W26" s="460">
        <f ca="1">S26/S$25</f>
        <v>1.1308994352836252</v>
      </c>
      <c r="Y26" s="245"/>
      <c r="Z26" s="245"/>
      <c r="AA26" s="245"/>
      <c r="AB26" s="245"/>
      <c r="AC26" s="245"/>
      <c r="AD26" s="245"/>
      <c r="AE26" s="245"/>
      <c r="AF26" s="245"/>
      <c r="AG26" s="964"/>
      <c r="AH26" s="973"/>
      <c r="AI26" s="803"/>
      <c r="AJ26" s="803"/>
      <c r="AK26" s="803"/>
      <c r="AL26" s="973"/>
      <c r="AM26" s="1033"/>
      <c r="AN26" s="245"/>
      <c r="AO26" s="245"/>
      <c r="AP26" s="245"/>
      <c r="AQ26" s="245"/>
      <c r="AR26" s="245"/>
      <c r="AS26" s="245"/>
      <c r="AT26" s="245"/>
      <c r="AU26" s="245"/>
      <c r="AV26" s="245"/>
      <c r="AW26" s="245"/>
      <c r="AX26" s="245"/>
      <c r="AY26" s="245"/>
      <c r="BA26" s="231" t="str">
        <f t="shared" ca="1" si="1"/>
        <v/>
      </c>
      <c r="BB26" s="277">
        <f t="shared" ca="1" si="6"/>
        <v>0</v>
      </c>
      <c r="BC26" s="277"/>
      <c r="BD26" s="277">
        <f t="shared" ca="1" si="2"/>
        <v>0</v>
      </c>
      <c r="BE26" s="277">
        <f t="shared" ca="1" si="7"/>
        <v>0</v>
      </c>
      <c r="BF26" s="413">
        <f t="shared" ca="1" si="0"/>
        <v>0</v>
      </c>
      <c r="BG26" s="278">
        <f t="shared" ca="1" si="3"/>
        <v>0</v>
      </c>
      <c r="BH26" s="231">
        <f t="shared" ca="1" si="4"/>
        <v>0</v>
      </c>
      <c r="BI26" s="231"/>
    </row>
    <row r="27" spans="1:62" ht="14.45" customHeight="1" thickBot="1" x14ac:dyDescent="0.3">
      <c r="A27" s="245"/>
      <c r="B27" s="879"/>
      <c r="C27" s="880"/>
      <c r="D27" s="880"/>
      <c r="E27" s="880"/>
      <c r="F27" s="264" t="s">
        <v>46</v>
      </c>
      <c r="G27" s="265"/>
      <c r="H27" s="265"/>
      <c r="I27" s="266">
        <f ca="1">V15*J39</f>
        <v>0.97469876267985434</v>
      </c>
      <c r="J27" s="262"/>
      <c r="K27" s="263"/>
      <c r="L27" s="262"/>
      <c r="M27" s="262"/>
      <c r="N27" s="262"/>
      <c r="O27" s="262"/>
      <c r="P27" s="237"/>
      <c r="Q27" s="867"/>
      <c r="R27" s="344" t="s">
        <v>32</v>
      </c>
      <c r="S27" s="457">
        <f ca="1">T10*$R$39</f>
        <v>51.604593941599596</v>
      </c>
      <c r="T27" s="458"/>
      <c r="U27" s="459" t="s">
        <v>32</v>
      </c>
      <c r="V27" s="459"/>
      <c r="W27" s="460">
        <f ca="1">S27/S$25</f>
        <v>0.8023133669511795</v>
      </c>
      <c r="Y27" s="245"/>
      <c r="Z27" s="245"/>
      <c r="AA27" s="245"/>
      <c r="AB27" s="245"/>
      <c r="AC27" s="245"/>
      <c r="AD27" s="245"/>
      <c r="AE27" s="245"/>
      <c r="AF27" s="245"/>
      <c r="AG27" s="965"/>
      <c r="AH27" s="688">
        <f ca="1">BR4</f>
        <v>5.0623571685205856E-2</v>
      </c>
      <c r="AI27" s="688">
        <f ca="1">IF(AK9&lt;&gt;0, IF(ROUNDDOWN(AK9,0)&lt;&gt;0,VLOOKUP(ROUNDDOWN(AK9,0),BM5:BR7,6),0)+(AK9-ROUNDDOWN(AK9,0))*VLOOKUP(ROUNDUP(AK9,0),BM5:BR7,5), 0)</f>
        <v>7.020613296064547E-2</v>
      </c>
      <c r="AJ27" s="688">
        <f ca="1">IF(AK10&lt;&gt;0,(IF(ROUNDDOWN(AK10,)&lt;&gt;0,VLOOKUP(ROUNDDOWN(AK10,0),BM5:BR7,6),0)+(AK10-ROUNDDOWN(AK10,0))*VLOOKUP(ROUNDUP(AK10,0),BM5:BR7,5))*AK11,0)</f>
        <v>2.6898180500812493E-2</v>
      </c>
      <c r="AK27" s="688">
        <f>-AK17</f>
        <v>-3.9118300842653445E-3</v>
      </c>
      <c r="AL27" s="689">
        <f ca="1">SUM(AH27:AK27)</f>
        <v>0.14381605506239847</v>
      </c>
      <c r="AM27" s="729">
        <f ca="1">AL27/AK19</f>
        <v>5.3330204472187379E-2</v>
      </c>
      <c r="AO27" s="687"/>
      <c r="AP27" s="245"/>
      <c r="AQ27" s="245"/>
      <c r="AR27" s="245"/>
      <c r="AS27" s="245"/>
      <c r="AT27" s="245"/>
      <c r="AU27" s="245"/>
      <c r="AV27" s="245"/>
      <c r="AW27" s="245"/>
      <c r="AX27" s="245"/>
      <c r="AY27" s="245"/>
      <c r="BA27" s="231" t="str">
        <f t="shared" ca="1" si="1"/>
        <v/>
      </c>
      <c r="BB27" s="277">
        <f t="shared" ca="1" si="6"/>
        <v>0</v>
      </c>
      <c r="BC27" s="277"/>
      <c r="BD27" s="277">
        <f t="shared" ca="1" si="2"/>
        <v>0</v>
      </c>
      <c r="BE27" s="277">
        <f t="shared" ca="1" si="7"/>
        <v>0</v>
      </c>
      <c r="BF27" s="413">
        <f t="shared" ca="1" si="0"/>
        <v>0</v>
      </c>
      <c r="BG27" s="278">
        <f t="shared" ca="1" si="3"/>
        <v>0</v>
      </c>
      <c r="BH27" s="231">
        <f t="shared" ca="1" si="4"/>
        <v>0</v>
      </c>
      <c r="BI27" s="231"/>
    </row>
    <row r="28" spans="1:62" ht="12" customHeight="1" thickBot="1" x14ac:dyDescent="0.3">
      <c r="A28" s="245"/>
      <c r="B28" s="794"/>
      <c r="C28" s="881"/>
      <c r="D28" s="881"/>
      <c r="E28" s="881"/>
      <c r="F28" s="246"/>
      <c r="G28" s="237"/>
      <c r="H28" s="237"/>
      <c r="I28" s="237"/>
      <c r="J28" s="237"/>
      <c r="K28" s="243"/>
      <c r="L28" s="237"/>
      <c r="M28" s="237"/>
      <c r="N28" s="237"/>
      <c r="O28" s="262"/>
      <c r="P28" s="237"/>
      <c r="Q28" s="237"/>
      <c r="R28" s="344" t="s">
        <v>168</v>
      </c>
      <c r="S28" s="457" t="e">
        <f ca="1">T12*$R$39</f>
        <v>#DIV/0!</v>
      </c>
      <c r="T28" s="458"/>
      <c r="U28" s="459" t="s">
        <v>168</v>
      </c>
      <c r="V28" s="459"/>
      <c r="W28" s="460" t="e">
        <f ca="1">S28/S$25</f>
        <v>#DIV/0!</v>
      </c>
      <c r="Y28" s="245"/>
      <c r="Z28" s="245"/>
      <c r="AA28" s="245"/>
      <c r="AB28" s="245"/>
      <c r="AC28" s="245"/>
      <c r="AD28" s="245"/>
      <c r="AE28" s="245"/>
      <c r="AF28" s="245"/>
      <c r="AG28" s="1001" t="s">
        <v>748</v>
      </c>
      <c r="AH28" s="1004" t="str">
        <f>F23</f>
        <v>Proportional increase in consumption per dollar</v>
      </c>
      <c r="AI28" s="1006" t="s">
        <v>33</v>
      </c>
      <c r="AJ28" s="1006"/>
      <c r="AK28" s="1007">
        <f ca="1">I23</f>
        <v>2.1019645056500443E-2</v>
      </c>
      <c r="AL28" s="1007"/>
      <c r="AM28" s="690"/>
      <c r="AN28" s="245"/>
      <c r="AO28" s="245"/>
      <c r="AP28" s="245"/>
      <c r="AQ28" s="245"/>
      <c r="AR28" s="245"/>
      <c r="AS28" s="245"/>
      <c r="AT28" s="245"/>
      <c r="AU28" s="245"/>
      <c r="AV28" s="245"/>
      <c r="AW28" s="245"/>
      <c r="AX28" s="245"/>
      <c r="AY28" s="245"/>
      <c r="BA28" s="231" t="str">
        <f t="shared" ca="1" si="1"/>
        <v/>
      </c>
      <c r="BB28" s="277">
        <f t="shared" ca="1" si="6"/>
        <v>0</v>
      </c>
      <c r="BC28" s="277"/>
      <c r="BD28" s="277">
        <f t="shared" ca="1" si="2"/>
        <v>0</v>
      </c>
      <c r="BE28" s="277">
        <f t="shared" ca="1" si="7"/>
        <v>0</v>
      </c>
      <c r="BF28" s="413">
        <f t="shared" ca="1" si="0"/>
        <v>0</v>
      </c>
      <c r="BG28" s="278">
        <f t="shared" ca="1" si="3"/>
        <v>0</v>
      </c>
      <c r="BH28" s="231">
        <f t="shared" ca="1" si="4"/>
        <v>0</v>
      </c>
      <c r="BI28" s="231"/>
    </row>
    <row r="29" spans="1:62" ht="12.75" customHeight="1" x14ac:dyDescent="0.25">
      <c r="A29" s="245"/>
      <c r="B29" s="245"/>
      <c r="C29" s="245"/>
      <c r="D29" s="245"/>
      <c r="E29" s="237"/>
      <c r="F29" s="267" t="s">
        <v>283</v>
      </c>
      <c r="G29" s="452">
        <f ca="1">I23/I$26</f>
        <v>6.1659922427800513</v>
      </c>
      <c r="H29" s="268" t="s">
        <v>40</v>
      </c>
      <c r="I29" s="265"/>
      <c r="J29" s="265"/>
      <c r="K29" s="269"/>
      <c r="L29" s="237"/>
      <c r="M29" s="237"/>
      <c r="N29" s="237"/>
      <c r="O29" s="262"/>
      <c r="P29" s="237"/>
      <c r="R29" s="344" t="s">
        <v>14</v>
      </c>
      <c r="S29" s="457">
        <f ca="1">V15*$R$39</f>
        <v>11.796830799875252</v>
      </c>
      <c r="T29" s="458"/>
      <c r="U29" s="459" t="s">
        <v>14</v>
      </c>
      <c r="V29" s="459"/>
      <c r="W29" s="460">
        <f ca="1">S29/S$25</f>
        <v>0.18340915634589544</v>
      </c>
      <c r="Y29" s="245"/>
      <c r="Z29" s="245"/>
      <c r="AA29" s="245"/>
      <c r="AB29" s="245"/>
      <c r="AC29" s="245"/>
      <c r="AD29" s="245"/>
      <c r="AE29" s="245"/>
      <c r="AF29" s="245"/>
      <c r="AG29" s="1002"/>
      <c r="AH29" s="1005"/>
      <c r="AI29" s="1008" t="s">
        <v>32</v>
      </c>
      <c r="AJ29" s="1008"/>
      <c r="AK29" s="1009">
        <f ca="1">I24</f>
        <v>1.4912327012675603E-2</v>
      </c>
      <c r="AL29" s="1009"/>
      <c r="AM29" s="243"/>
      <c r="AN29" s="245"/>
      <c r="AO29" s="245"/>
      <c r="AP29" s="245"/>
      <c r="AQ29" s="245"/>
      <c r="AR29" s="245"/>
      <c r="AS29" s="245"/>
      <c r="AT29" s="245"/>
      <c r="AU29" s="245"/>
      <c r="AV29" s="245"/>
      <c r="AW29" s="245"/>
      <c r="AX29" s="245"/>
      <c r="AY29" s="245"/>
      <c r="BA29" s="231" t="str">
        <f t="shared" ca="1" si="1"/>
        <v/>
      </c>
      <c r="BB29" s="277">
        <f t="shared" ca="1" si="6"/>
        <v>0</v>
      </c>
      <c r="BC29" s="277"/>
      <c r="BD29" s="277">
        <f t="shared" ca="1" si="2"/>
        <v>0</v>
      </c>
      <c r="BE29" s="277">
        <f t="shared" ca="1" si="7"/>
        <v>0</v>
      </c>
      <c r="BF29" s="413">
        <f t="shared" ca="1" si="0"/>
        <v>0</v>
      </c>
      <c r="BG29" s="278">
        <f t="shared" ca="1" si="3"/>
        <v>0</v>
      </c>
      <c r="BH29" s="231">
        <f t="shared" ca="1" si="4"/>
        <v>0</v>
      </c>
      <c r="BI29" s="287"/>
      <c r="BJ29" s="245"/>
    </row>
    <row r="30" spans="1:62" s="245" customFormat="1" ht="14.45" customHeight="1" x14ac:dyDescent="0.25">
      <c r="E30" s="237"/>
      <c r="F30" s="267" t="s">
        <v>41</v>
      </c>
      <c r="G30" s="452">
        <f t="shared" ref="G30" ca="1" si="8">I24/I$26</f>
        <v>4.3744455453362354</v>
      </c>
      <c r="H30" s="268" t="s">
        <v>40</v>
      </c>
      <c r="I30" s="265"/>
      <c r="J30" s="265"/>
      <c r="K30" s="269"/>
      <c r="L30" s="237"/>
      <c r="M30" s="237"/>
      <c r="N30" s="237"/>
      <c r="O30" s="262"/>
      <c r="P30" s="237"/>
      <c r="R30" s="342" t="s">
        <v>522</v>
      </c>
      <c r="S30" s="461"/>
      <c r="T30" s="458"/>
      <c r="U30" s="458"/>
      <c r="V30" s="458"/>
      <c r="W30" s="462" t="s">
        <v>281</v>
      </c>
      <c r="AG30" s="1002"/>
      <c r="AH30" s="1005"/>
      <c r="AI30" s="1008" t="s">
        <v>168</v>
      </c>
      <c r="AJ30" s="1008"/>
      <c r="AK30" s="1009" t="str">
        <f ca="1">I25</f>
        <v>-</v>
      </c>
      <c r="AL30" s="1009"/>
      <c r="AM30" s="243"/>
      <c r="BA30" s="231" t="str">
        <f t="shared" ca="1" si="1"/>
        <v/>
      </c>
      <c r="BB30" s="277">
        <f t="shared" ca="1" si="6"/>
        <v>0</v>
      </c>
      <c r="BC30" s="277"/>
      <c r="BD30" s="277">
        <f t="shared" ca="1" si="2"/>
        <v>0</v>
      </c>
      <c r="BE30" s="277">
        <f t="shared" ca="1" si="7"/>
        <v>0</v>
      </c>
      <c r="BF30" s="413">
        <f t="shared" ca="1" si="0"/>
        <v>0</v>
      </c>
      <c r="BG30" s="278">
        <f t="shared" ca="1" si="3"/>
        <v>0</v>
      </c>
      <c r="BH30" s="231">
        <f t="shared" ca="1" si="4"/>
        <v>0</v>
      </c>
      <c r="BI30" s="231"/>
      <c r="BJ30" s="232"/>
    </row>
    <row r="31" spans="1:62" ht="13.7" customHeight="1" x14ac:dyDescent="0.25">
      <c r="A31" s="245"/>
      <c r="B31" s="245"/>
      <c r="C31" s="245"/>
      <c r="D31" s="245"/>
      <c r="E31" s="237"/>
      <c r="F31" s="267" t="s">
        <v>185</v>
      </c>
      <c r="G31" s="452" t="str">
        <f ca="1">IFERROR(I25/I$26,"-")</f>
        <v>-</v>
      </c>
      <c r="H31" s="268" t="s">
        <v>40</v>
      </c>
      <c r="I31" s="265"/>
      <c r="J31" s="265"/>
      <c r="K31" s="269"/>
      <c r="L31" s="237"/>
      <c r="M31" s="237"/>
      <c r="N31" s="237"/>
      <c r="O31" s="262"/>
      <c r="P31" s="237"/>
      <c r="Q31" s="341"/>
      <c r="R31" s="343" t="s">
        <v>42</v>
      </c>
      <c r="S31" s="457">
        <f ca="1">IFERROR(IF(S26-S$25&gt;0,S26-S$25,"N/A"),"N/A")</f>
        <v>8.4194187498900419</v>
      </c>
      <c r="T31" s="463"/>
      <c r="U31" s="459"/>
      <c r="V31" s="459"/>
      <c r="W31" s="464" t="str">
        <f ca="1">IF(AND(S31&lt;&gt;"N/A",S31&gt;=$W$35),R31,"Bednets")</f>
        <v>Bednets</v>
      </c>
      <c r="Y31" s="245"/>
      <c r="Z31" s="245"/>
      <c r="AA31" s="245"/>
      <c r="AB31" s="245"/>
      <c r="AC31" s="245"/>
      <c r="AD31" s="245"/>
      <c r="AE31" s="245"/>
      <c r="AF31" s="245"/>
      <c r="AG31" s="1002"/>
      <c r="AH31" s="1005"/>
      <c r="AI31" s="1008" t="s">
        <v>14</v>
      </c>
      <c r="AJ31" s="1008"/>
      <c r="AK31" s="1009">
        <f ca="1">I26</f>
        <v>3.4089639151124438E-3</v>
      </c>
      <c r="AL31" s="1009"/>
      <c r="AM31" s="730"/>
      <c r="AN31" s="245"/>
      <c r="AO31" s="245"/>
      <c r="AP31" s="245"/>
      <c r="AQ31" s="245"/>
      <c r="AR31" s="245"/>
      <c r="AS31" s="245"/>
      <c r="AT31" s="245"/>
      <c r="AU31" s="245"/>
      <c r="AV31" s="245"/>
      <c r="AW31" s="245"/>
      <c r="AX31" s="245"/>
      <c r="AY31" s="245"/>
      <c r="BA31" s="231" t="str">
        <f t="shared" ca="1" si="1"/>
        <v/>
      </c>
      <c r="BB31" s="277">
        <f t="shared" ca="1" si="6"/>
        <v>0</v>
      </c>
      <c r="BC31" s="277"/>
      <c r="BD31" s="277">
        <f t="shared" ca="1" si="2"/>
        <v>0</v>
      </c>
      <c r="BE31" s="277">
        <f t="shared" ca="1" si="7"/>
        <v>0</v>
      </c>
      <c r="BF31" s="413">
        <f t="shared" ca="1" si="0"/>
        <v>0</v>
      </c>
      <c r="BG31" s="278">
        <f t="shared" ca="1" si="3"/>
        <v>0</v>
      </c>
      <c r="BH31" s="231">
        <f t="shared" ca="1" si="4"/>
        <v>0</v>
      </c>
      <c r="BI31" s="231"/>
    </row>
    <row r="32" spans="1:62" ht="13.5" customHeight="1" x14ac:dyDescent="0.25">
      <c r="A32" s="245"/>
      <c r="B32" s="245"/>
      <c r="C32" s="245"/>
      <c r="D32" s="245"/>
      <c r="E32" s="237"/>
      <c r="F32" s="246"/>
      <c r="G32" s="237"/>
      <c r="H32" s="237"/>
      <c r="I32" s="237"/>
      <c r="J32" s="262"/>
      <c r="K32" s="263"/>
      <c r="L32" s="237"/>
      <c r="M32" s="237"/>
      <c r="N32" s="237"/>
      <c r="O32" s="262"/>
      <c r="P32" s="237"/>
      <c r="Q32" s="341"/>
      <c r="R32" s="343" t="s">
        <v>32</v>
      </c>
      <c r="S32" s="457" t="str">
        <f ca="1">IFERROR(IF(S27-S$25&gt;0,S27-S$25,"N/A"),"N/A")</f>
        <v>N/A</v>
      </c>
      <c r="T32" s="463"/>
      <c r="U32" s="459"/>
      <c r="V32" s="459"/>
      <c r="W32" s="464" t="str">
        <f ca="1">IF(AND(S32&lt;&gt;"N/A",S32&gt;=$W$35),R32,"Bednets")</f>
        <v>Bednets</v>
      </c>
      <c r="Y32" s="245"/>
      <c r="Z32" s="245"/>
      <c r="AA32" s="245"/>
      <c r="AB32" s="245"/>
      <c r="AC32" s="245"/>
      <c r="AD32" s="245"/>
      <c r="AE32" s="245"/>
      <c r="AF32" s="245"/>
      <c r="AG32" s="1002"/>
      <c r="AH32" s="1005"/>
      <c r="AI32" s="1008" t="s">
        <v>749</v>
      </c>
      <c r="AJ32" s="1008"/>
      <c r="AK32" s="1009">
        <f ca="1">AM27*AK12*AK14</f>
        <v>2.1332081788874954E-2</v>
      </c>
      <c r="AL32" s="1009"/>
      <c r="AM32" s="731"/>
      <c r="AN32" s="375" t="s">
        <v>750</v>
      </c>
      <c r="AO32" s="691"/>
      <c r="AP32" s="691"/>
      <c r="AQ32" s="691"/>
      <c r="AR32" s="691"/>
      <c r="AS32" s="691"/>
      <c r="AT32" s="691"/>
      <c r="AU32" s="691"/>
      <c r="AV32" s="691"/>
      <c r="AW32" s="691"/>
      <c r="AX32" s="691"/>
      <c r="AY32" s="691"/>
      <c r="BA32" s="231" t="str">
        <f t="shared" ca="1" si="1"/>
        <v/>
      </c>
      <c r="BB32" s="277">
        <f t="shared" ca="1" si="6"/>
        <v>0</v>
      </c>
      <c r="BC32" s="277"/>
      <c r="BD32" s="277">
        <f t="shared" ca="1" si="2"/>
        <v>0</v>
      </c>
      <c r="BE32" s="277">
        <f t="shared" ca="1" si="7"/>
        <v>0</v>
      </c>
      <c r="BF32" s="413">
        <f t="shared" ca="1" si="0"/>
        <v>0</v>
      </c>
      <c r="BG32" s="278">
        <f t="shared" ca="1" si="3"/>
        <v>0</v>
      </c>
      <c r="BH32" s="231">
        <f t="shared" ca="1" si="4"/>
        <v>0</v>
      </c>
      <c r="BI32" s="231"/>
    </row>
    <row r="33" spans="1:61" ht="18.75" x14ac:dyDescent="0.25">
      <c r="A33" s="245"/>
      <c r="B33" s="245"/>
      <c r="C33" s="245"/>
      <c r="D33" s="245"/>
      <c r="E33" s="237"/>
      <c r="F33" s="865" t="s">
        <v>152</v>
      </c>
      <c r="G33" s="260" t="s">
        <v>42</v>
      </c>
      <c r="H33" s="261"/>
      <c r="I33" s="428">
        <f ca="1">V9</f>
        <v>4281.7088375223057</v>
      </c>
      <c r="J33" s="262"/>
      <c r="K33" s="263"/>
      <c r="L33" s="237"/>
      <c r="M33" s="237"/>
      <c r="N33" s="237"/>
      <c r="O33" s="262"/>
      <c r="P33" s="237"/>
      <c r="Q33" s="285"/>
      <c r="R33" s="343" t="s">
        <v>168</v>
      </c>
      <c r="S33" s="457" t="str">
        <f ca="1">IFERROR(IF(S28-S$25&gt;0,S28-S$25,"N/A"),"N/A")</f>
        <v>N/A</v>
      </c>
      <c r="T33" s="463"/>
      <c r="U33" s="459"/>
      <c r="V33" s="459"/>
      <c r="W33" s="464" t="str">
        <f ca="1">IF(AND(S33&lt;&gt;"N/A",S33&gt;=$W$35),R33,"Bednets")</f>
        <v>Bednets</v>
      </c>
      <c r="Y33" s="245"/>
      <c r="Z33" s="245"/>
      <c r="AA33" s="245"/>
      <c r="AB33" s="245"/>
      <c r="AC33" s="245"/>
      <c r="AD33" s="245"/>
      <c r="AE33" s="245"/>
      <c r="AF33" s="245"/>
      <c r="AG33" s="1002"/>
      <c r="AH33" s="692" t="s">
        <v>46</v>
      </c>
      <c r="AI33" s="692"/>
      <c r="AJ33" s="692"/>
      <c r="AK33" s="1012">
        <f ca="1">I27</f>
        <v>0.97469876267985434</v>
      </c>
      <c r="AL33" s="1012"/>
      <c r="AM33" s="243"/>
      <c r="AN33" s="245"/>
      <c r="AO33" s="245"/>
      <c r="AP33" s="245"/>
      <c r="AQ33" s="245"/>
      <c r="AR33" s="245"/>
      <c r="AS33" s="245"/>
      <c r="AT33" s="245"/>
      <c r="AU33" s="245"/>
      <c r="AV33" s="245"/>
      <c r="AW33" s="245"/>
      <c r="AX33" s="245"/>
      <c r="AY33" s="245"/>
      <c r="BA33" s="231" t="str">
        <f t="shared" ca="1" si="1"/>
        <v/>
      </c>
      <c r="BB33" s="277">
        <f t="shared" ca="1" si="6"/>
        <v>0</v>
      </c>
      <c r="BC33" s="277"/>
      <c r="BD33" s="277">
        <f t="shared" ca="1" si="2"/>
        <v>0</v>
      </c>
      <c r="BE33" s="277">
        <f t="shared" ca="1" si="7"/>
        <v>0</v>
      </c>
      <c r="BF33" s="413">
        <f t="shared" ca="1" si="0"/>
        <v>0</v>
      </c>
      <c r="BG33" s="278">
        <f t="shared" ca="1" si="3"/>
        <v>0</v>
      </c>
      <c r="BH33" s="231">
        <f t="shared" ca="1" si="4"/>
        <v>0</v>
      </c>
      <c r="BI33" s="231"/>
    </row>
    <row r="34" spans="1:61" ht="18.75" x14ac:dyDescent="0.25">
      <c r="A34" s="245"/>
      <c r="B34" s="245"/>
      <c r="C34" s="245"/>
      <c r="D34" s="245"/>
      <c r="E34" s="237"/>
      <c r="F34" s="865"/>
      <c r="G34" s="260" t="s">
        <v>32</v>
      </c>
      <c r="H34" s="261"/>
      <c r="I34" s="428">
        <f ca="1">V10</f>
        <v>6035.2753747620509</v>
      </c>
      <c r="J34" s="262"/>
      <c r="K34" s="263"/>
      <c r="L34" s="262"/>
      <c r="M34" s="262"/>
      <c r="N34" s="262"/>
      <c r="O34" s="262"/>
      <c r="P34" s="237"/>
      <c r="Q34" s="285"/>
      <c r="R34" s="349"/>
      <c r="S34" s="350"/>
      <c r="T34" s="350"/>
      <c r="U34" s="350"/>
      <c r="V34" s="350"/>
      <c r="W34" s="351"/>
      <c r="Y34" s="245"/>
      <c r="Z34" s="245"/>
      <c r="AA34" s="245"/>
      <c r="AB34" s="245"/>
      <c r="AC34" s="245"/>
      <c r="AD34" s="245"/>
      <c r="AE34" s="245"/>
      <c r="AF34" s="245"/>
      <c r="AG34" s="1002"/>
      <c r="AH34" s="237"/>
      <c r="AI34" s="237"/>
      <c r="AJ34" s="237"/>
      <c r="AK34" s="237"/>
      <c r="AL34" s="237"/>
      <c r="AM34" s="243"/>
      <c r="AN34" s="245"/>
      <c r="AO34" s="245"/>
      <c r="AP34" s="245"/>
      <c r="AQ34" s="245"/>
      <c r="AR34" s="245"/>
      <c r="AS34" s="245"/>
      <c r="AT34" s="245"/>
      <c r="AU34" s="245"/>
      <c r="AV34" s="245"/>
      <c r="AW34" s="245"/>
      <c r="AX34" s="245"/>
      <c r="AY34" s="245"/>
      <c r="BA34" s="231" t="str">
        <f t="shared" ca="1" si="1"/>
        <v/>
      </c>
      <c r="BB34" s="277">
        <f t="shared" ca="1" si="6"/>
        <v>0</v>
      </c>
      <c r="BC34" s="277"/>
      <c r="BD34" s="277">
        <f t="shared" ca="1" si="2"/>
        <v>0</v>
      </c>
      <c r="BE34" s="277">
        <f t="shared" ca="1" si="7"/>
        <v>0</v>
      </c>
      <c r="BF34" s="413">
        <f t="shared" ca="1" si="0"/>
        <v>0</v>
      </c>
      <c r="BG34" s="278">
        <f t="shared" ca="1" si="3"/>
        <v>0</v>
      </c>
      <c r="BH34" s="231">
        <f t="shared" ca="1" si="4"/>
        <v>0</v>
      </c>
      <c r="BI34" s="231"/>
    </row>
    <row r="35" spans="1:61" ht="19.5" thickBot="1" x14ac:dyDescent="0.3">
      <c r="A35" s="245"/>
      <c r="B35" s="245"/>
      <c r="C35" s="245"/>
      <c r="D35" s="245"/>
      <c r="E35" s="245"/>
      <c r="F35" s="865"/>
      <c r="G35" s="260" t="s">
        <v>38</v>
      </c>
      <c r="H35" s="261"/>
      <c r="I35" s="428">
        <f ca="1">V11</f>
        <v>2857.0960762287164</v>
      </c>
      <c r="J35" s="237"/>
      <c r="K35" s="243"/>
      <c r="L35" s="237"/>
      <c r="M35" s="237"/>
      <c r="N35" s="237"/>
      <c r="O35" s="237"/>
      <c r="P35" s="245"/>
      <c r="Q35" s="285"/>
      <c r="R35" s="898" t="s">
        <v>523</v>
      </c>
      <c r="S35" s="899"/>
      <c r="T35" s="899"/>
      <c r="U35" s="899"/>
      <c r="V35" s="899"/>
      <c r="W35" s="465">
        <f ca="1">$G$10*M19</f>
        <v>90</v>
      </c>
      <c r="X35" s="285"/>
      <c r="Y35" s="285"/>
      <c r="Z35" s="245"/>
      <c r="AA35" s="245"/>
      <c r="AB35" s="245"/>
      <c r="AC35" s="245"/>
      <c r="AD35" s="245"/>
      <c r="AE35" s="245"/>
      <c r="AF35" s="245"/>
      <c r="AG35" s="1002"/>
      <c r="AH35" s="1013" t="s">
        <v>283</v>
      </c>
      <c r="AI35" s="1014"/>
      <c r="AJ35" s="693">
        <f ca="1">G29</f>
        <v>6.1659922427800513</v>
      </c>
      <c r="AK35" s="694" t="s">
        <v>40</v>
      </c>
      <c r="AL35" s="694"/>
      <c r="AM35" s="695"/>
      <c r="AN35" s="245"/>
      <c r="AO35" s="245"/>
      <c r="AP35" s="245"/>
      <c r="AQ35" s="245"/>
      <c r="AR35" s="245"/>
      <c r="AS35" s="245"/>
      <c r="AT35" s="245"/>
      <c r="AU35" s="245"/>
      <c r="AV35" s="245"/>
      <c r="AW35" s="245"/>
      <c r="AX35" s="245"/>
      <c r="AY35" s="245"/>
      <c r="BA35" s="231" t="str">
        <f t="shared" ca="1" si="1"/>
        <v/>
      </c>
      <c r="BB35" s="277">
        <f t="shared" ca="1" si="6"/>
        <v>0</v>
      </c>
      <c r="BC35" s="277"/>
      <c r="BD35" s="277">
        <f t="shared" ca="1" si="2"/>
        <v>0</v>
      </c>
      <c r="BE35" s="277">
        <f t="shared" ca="1" si="7"/>
        <v>0</v>
      </c>
      <c r="BF35" s="413">
        <f t="shared" ca="1" si="0"/>
        <v>0</v>
      </c>
      <c r="BG35" s="278">
        <f t="shared" ca="1" si="3"/>
        <v>0</v>
      </c>
      <c r="BH35" s="231">
        <f t="shared" ca="1" si="4"/>
        <v>0</v>
      </c>
    </row>
    <row r="36" spans="1:61" ht="19.5" thickBot="1" x14ac:dyDescent="0.3">
      <c r="A36" s="245"/>
      <c r="B36" s="245"/>
      <c r="C36" s="245"/>
      <c r="D36" s="245"/>
      <c r="E36" s="245"/>
      <c r="F36" s="897"/>
      <c r="G36" s="288" t="s">
        <v>168</v>
      </c>
      <c r="H36" s="289"/>
      <c r="I36" s="429" t="str">
        <f>V12</f>
        <v>-</v>
      </c>
      <c r="J36" s="238"/>
      <c r="K36" s="323"/>
      <c r="L36" s="237"/>
      <c r="M36" s="237"/>
      <c r="N36" s="237"/>
      <c r="O36" s="237"/>
      <c r="P36" s="245"/>
      <c r="Q36" s="285"/>
      <c r="R36" s="375"/>
      <c r="S36" s="375"/>
      <c r="T36" s="375"/>
      <c r="U36" s="375"/>
      <c r="V36" s="375"/>
      <c r="W36" s="286"/>
      <c r="X36" s="286"/>
      <c r="Y36" s="285"/>
      <c r="Z36" s="245"/>
      <c r="AA36" s="245"/>
      <c r="AB36" s="245"/>
      <c r="AC36" s="245"/>
      <c r="AD36" s="245"/>
      <c r="AE36" s="245"/>
      <c r="AF36" s="245"/>
      <c r="AG36" s="1002"/>
      <c r="AH36" s="1015" t="s">
        <v>41</v>
      </c>
      <c r="AI36" s="1016"/>
      <c r="AJ36" s="693">
        <f ca="1">G30</f>
        <v>4.3744455453362354</v>
      </c>
      <c r="AK36" s="694" t="s">
        <v>40</v>
      </c>
      <c r="AL36" s="694"/>
      <c r="AM36" s="695"/>
      <c r="AN36" s="245"/>
      <c r="AO36" s="245"/>
      <c r="AP36" s="245"/>
      <c r="AQ36" s="245"/>
      <c r="AR36" s="245"/>
      <c r="AS36" s="245"/>
      <c r="AT36" s="245"/>
      <c r="AU36" s="245"/>
      <c r="AV36" s="245"/>
      <c r="AW36" s="245"/>
      <c r="AX36" s="245"/>
      <c r="AY36" s="245"/>
      <c r="BA36" s="287" t="str">
        <f t="shared" ca="1" si="1"/>
        <v/>
      </c>
      <c r="BB36" s="324">
        <f t="shared" ca="1" si="6"/>
        <v>0</v>
      </c>
      <c r="BC36" s="324"/>
      <c r="BD36" s="324">
        <f t="shared" ca="1" si="2"/>
        <v>0</v>
      </c>
      <c r="BE36" s="324">
        <f t="shared" ca="1" si="7"/>
        <v>0</v>
      </c>
      <c r="BF36" s="413">
        <f t="shared" ca="1" si="0"/>
        <v>0</v>
      </c>
      <c r="BG36" s="278">
        <f t="shared" ca="1" si="3"/>
        <v>0</v>
      </c>
      <c r="BH36" s="287">
        <f t="shared" ca="1" si="4"/>
        <v>0</v>
      </c>
    </row>
    <row r="37" spans="1:61" ht="19.5" thickBot="1" x14ac:dyDescent="0.3">
      <c r="B37" s="245"/>
      <c r="C37" s="245"/>
      <c r="D37" s="245"/>
      <c r="E37" s="245"/>
      <c r="F37" s="245"/>
      <c r="G37" s="245"/>
      <c r="H37" s="245"/>
      <c r="I37" s="307"/>
      <c r="J37" s="307"/>
      <c r="K37" s="245"/>
      <c r="L37" s="245"/>
      <c r="M37" s="245"/>
      <c r="N37" s="245"/>
      <c r="O37" s="245"/>
      <c r="P37" s="245"/>
      <c r="Q37" s="285"/>
      <c r="R37" s="285"/>
      <c r="S37" s="285"/>
      <c r="T37" s="285"/>
      <c r="U37" s="285"/>
      <c r="W37" s="245"/>
      <c r="Y37" s="285"/>
      <c r="Z37" s="245"/>
      <c r="AA37" s="245"/>
      <c r="AB37" s="245"/>
      <c r="AC37" s="245"/>
      <c r="AD37" s="245"/>
      <c r="AE37" s="245"/>
      <c r="AF37" s="245"/>
      <c r="AG37" s="1002"/>
      <c r="AH37" s="1015" t="s">
        <v>185</v>
      </c>
      <c r="AI37" s="1016"/>
      <c r="AJ37" s="693" t="str">
        <f ca="1">G31</f>
        <v>-</v>
      </c>
      <c r="AK37" s="694" t="s">
        <v>40</v>
      </c>
      <c r="AL37" s="694"/>
      <c r="AM37" s="695"/>
      <c r="AN37" s="245"/>
      <c r="AO37" s="245"/>
      <c r="AP37" s="245"/>
      <c r="AQ37" s="245"/>
      <c r="AR37" s="245"/>
      <c r="AS37" s="245"/>
      <c r="AT37" s="245"/>
      <c r="AU37" s="245"/>
      <c r="AV37" s="245"/>
      <c r="AW37" s="245"/>
      <c r="AX37" s="245"/>
      <c r="AY37" s="245"/>
      <c r="AZ37" s="231"/>
      <c r="BA37" s="287" t="str">
        <f t="shared" ca="1" si="1"/>
        <v/>
      </c>
      <c r="BB37" s="324">
        <f t="shared" ca="1" si="6"/>
        <v>0</v>
      </c>
      <c r="BC37" s="324"/>
      <c r="BD37" s="324">
        <f t="shared" ca="1" si="2"/>
        <v>0</v>
      </c>
      <c r="BE37" s="324">
        <f t="shared" ca="1" si="7"/>
        <v>0</v>
      </c>
      <c r="BF37" s="413">
        <f t="shared" ca="1" si="0"/>
        <v>0</v>
      </c>
      <c r="BG37" s="278">
        <f t="shared" ca="1" si="3"/>
        <v>0</v>
      </c>
      <c r="BH37" s="287">
        <f t="shared" ca="1" si="4"/>
        <v>0</v>
      </c>
    </row>
    <row r="38" spans="1:61" ht="57" thickBot="1" x14ac:dyDescent="0.3">
      <c r="A38" s="245"/>
      <c r="B38" s="900" t="s">
        <v>29</v>
      </c>
      <c r="C38" s="247"/>
      <c r="D38" s="903" t="s">
        <v>24</v>
      </c>
      <c r="E38" s="904"/>
      <c r="F38" s="905"/>
      <c r="G38" s="249" t="s">
        <v>16</v>
      </c>
      <c r="H38" s="906" t="s">
        <v>27</v>
      </c>
      <c r="I38" s="907"/>
      <c r="J38" s="903" t="s">
        <v>26</v>
      </c>
      <c r="K38" s="904"/>
      <c r="L38" s="904"/>
      <c r="M38" s="904"/>
      <c r="N38" s="905"/>
      <c r="O38" s="903" t="s">
        <v>17</v>
      </c>
      <c r="P38" s="905"/>
      <c r="Q38" s="682" t="s">
        <v>18</v>
      </c>
      <c r="R38" s="280" t="s">
        <v>147</v>
      </c>
      <c r="S38" s="665" t="s">
        <v>555</v>
      </c>
      <c r="T38" s="666"/>
      <c r="U38" s="280" t="s">
        <v>179</v>
      </c>
      <c r="V38" s="282" t="s">
        <v>182</v>
      </c>
      <c r="W38" s="211"/>
      <c r="X38" s="211"/>
      <c r="Y38" s="245"/>
      <c r="Z38" s="245"/>
      <c r="AA38" s="245"/>
      <c r="AB38" s="245"/>
      <c r="AC38" s="245"/>
      <c r="AD38" s="245"/>
      <c r="AE38" s="245"/>
      <c r="AF38" s="245"/>
      <c r="AG38" s="1003"/>
      <c r="AH38" s="1010" t="s">
        <v>751</v>
      </c>
      <c r="AI38" s="1011"/>
      <c r="AJ38" s="696">
        <f ca="1">AK32/AK31</f>
        <v>6.2576437651060672</v>
      </c>
      <c r="AK38" s="697" t="s">
        <v>40</v>
      </c>
      <c r="AL38" s="697"/>
      <c r="AM38" s="698"/>
      <c r="AN38" s="245"/>
      <c r="AO38" s="245"/>
      <c r="AP38" s="245"/>
      <c r="AQ38" s="245"/>
      <c r="AR38" s="245"/>
      <c r="AS38" s="245"/>
      <c r="AT38" s="245"/>
      <c r="AU38" s="245"/>
      <c r="AV38" s="245"/>
      <c r="AW38" s="245"/>
      <c r="AX38" s="245"/>
      <c r="AY38" s="245"/>
      <c r="AZ38" s="231"/>
      <c r="BA38" s="287" t="str">
        <f t="shared" ca="1" si="1"/>
        <v/>
      </c>
      <c r="BB38" s="324">
        <f t="shared" ca="1" si="6"/>
        <v>0</v>
      </c>
      <c r="BC38" s="324"/>
      <c r="BD38" s="324">
        <f t="shared" ca="1" si="2"/>
        <v>0</v>
      </c>
      <c r="BE38" s="324">
        <f t="shared" ca="1" si="7"/>
        <v>0</v>
      </c>
      <c r="BF38" s="413">
        <f t="shared" ca="1" si="0"/>
        <v>0</v>
      </c>
      <c r="BG38" s="278">
        <f t="shared" ca="1" si="3"/>
        <v>0</v>
      </c>
      <c r="BH38" s="287">
        <f t="shared" ca="1" si="4"/>
        <v>0</v>
      </c>
      <c r="BI38" s="231"/>
    </row>
    <row r="39" spans="1:61" ht="15" x14ac:dyDescent="0.25">
      <c r="A39" s="245"/>
      <c r="B39" s="901"/>
      <c r="C39" s="250" t="s">
        <v>20</v>
      </c>
      <c r="D39" s="908">
        <f>Parameters!$D$27</f>
        <v>0.26900000000000002</v>
      </c>
      <c r="E39" s="909"/>
      <c r="F39" s="910"/>
      <c r="G39" s="254">
        <f>Parameters!$D$28</f>
        <v>2.41</v>
      </c>
      <c r="H39" s="911">
        <f>Parameters!$D$62</f>
        <v>4.7</v>
      </c>
      <c r="I39" s="912"/>
      <c r="J39" s="913">
        <f>Parameters!$D$59</f>
        <v>285.92228810603416</v>
      </c>
      <c r="K39" s="914"/>
      <c r="L39" s="914"/>
      <c r="M39" s="914"/>
      <c r="N39" s="915"/>
      <c r="O39" s="876">
        <f>Parameters!$D$60</f>
        <v>1000</v>
      </c>
      <c r="P39" s="877"/>
      <c r="Q39" s="279">
        <f>Parameters!$D$61</f>
        <v>212.7659574468085</v>
      </c>
      <c r="R39" s="478">
        <f>Parameters!$D$47</f>
        <v>3460.5326115592329</v>
      </c>
      <c r="S39" s="281">
        <f>Parameters!$D$48</f>
        <v>3.8550856953969204</v>
      </c>
      <c r="T39" s="667"/>
      <c r="U39" s="326">
        <f>Parameters!$D$43</f>
        <v>15</v>
      </c>
      <c r="V39" s="318">
        <f>Parameters!$D$44</f>
        <v>0.43099999999999999</v>
      </c>
      <c r="W39" s="314"/>
      <c r="X39" s="314"/>
      <c r="Y39" s="245"/>
      <c r="Z39" s="237"/>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BA39" s="287" t="str">
        <f t="shared" ca="1" si="1"/>
        <v/>
      </c>
      <c r="BB39" s="324">
        <f t="shared" ca="1" si="6"/>
        <v>0</v>
      </c>
      <c r="BC39" s="324"/>
      <c r="BD39" s="324">
        <f t="shared" ca="1" si="2"/>
        <v>0</v>
      </c>
      <c r="BE39" s="324">
        <f t="shared" ca="1" si="7"/>
        <v>0</v>
      </c>
      <c r="BF39" s="413">
        <f t="shared" ca="1" si="0"/>
        <v>0</v>
      </c>
      <c r="BG39" s="278">
        <f t="shared" ca="1" si="3"/>
        <v>0</v>
      </c>
      <c r="BH39" s="287">
        <f t="shared" ca="1" si="4"/>
        <v>0</v>
      </c>
      <c r="BI39" s="231"/>
    </row>
    <row r="40" spans="1:61" ht="90" thickBot="1" x14ac:dyDescent="0.3">
      <c r="A40" s="245"/>
      <c r="B40" s="902"/>
      <c r="C40" s="251" t="s">
        <v>21</v>
      </c>
      <c r="D40" s="887" t="s">
        <v>332</v>
      </c>
      <c r="E40" s="888"/>
      <c r="F40" s="888"/>
      <c r="G40" s="889"/>
      <c r="H40" s="389" t="s">
        <v>23</v>
      </c>
      <c r="I40" s="390"/>
      <c r="J40" s="390"/>
      <c r="K40" s="390"/>
      <c r="L40" s="390"/>
      <c r="M40" s="390"/>
      <c r="N40" s="390"/>
      <c r="O40" s="390"/>
      <c r="P40" s="390"/>
      <c r="Q40" s="391"/>
      <c r="R40" s="894" t="s">
        <v>419</v>
      </c>
      <c r="S40" s="895"/>
      <c r="T40" s="896"/>
      <c r="U40" s="328" t="s">
        <v>180</v>
      </c>
      <c r="V40" s="481" t="s">
        <v>220</v>
      </c>
      <c r="W40" s="426"/>
      <c r="X40" s="426"/>
      <c r="Y40" s="245"/>
      <c r="Z40" s="237"/>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BA40" s="287" t="str">
        <f t="shared" ca="1" si="1"/>
        <v/>
      </c>
      <c r="BB40" s="324">
        <f t="shared" ca="1" si="6"/>
        <v>0</v>
      </c>
      <c r="BC40" s="324"/>
      <c r="BD40" s="324">
        <f t="shared" ca="1" si="2"/>
        <v>0</v>
      </c>
      <c r="BE40" s="324">
        <f t="shared" ca="1" si="7"/>
        <v>0</v>
      </c>
      <c r="BF40" s="413">
        <f t="shared" ca="1" si="0"/>
        <v>0</v>
      </c>
      <c r="BG40" s="278">
        <f t="shared" ca="1" si="3"/>
        <v>0</v>
      </c>
      <c r="BH40" s="287">
        <f t="shared" ca="1" si="4"/>
        <v>0</v>
      </c>
      <c r="BI40" s="231"/>
    </row>
    <row r="41" spans="1:61" s="245" customFormat="1" ht="15" x14ac:dyDescent="0.25">
      <c r="J41" s="307"/>
      <c r="K41" s="307"/>
      <c r="L41" s="307"/>
      <c r="M41" s="307"/>
      <c r="Z41" s="237"/>
      <c r="BA41" s="287" t="str">
        <f t="shared" ca="1" si="1"/>
        <v/>
      </c>
      <c r="BB41" s="324">
        <f t="shared" ca="1" si="6"/>
        <v>0</v>
      </c>
      <c r="BC41" s="324"/>
      <c r="BD41" s="324">
        <f t="shared" ca="1" si="2"/>
        <v>0</v>
      </c>
      <c r="BE41" s="324">
        <f t="shared" ca="1" si="7"/>
        <v>0</v>
      </c>
      <c r="BF41" s="413">
        <f t="shared" ca="1" si="0"/>
        <v>0</v>
      </c>
      <c r="BG41" s="278">
        <f t="shared" ca="1" si="3"/>
        <v>0</v>
      </c>
      <c r="BH41" s="287">
        <f t="shared" ca="1" si="4"/>
        <v>0</v>
      </c>
      <c r="BI41" s="287"/>
    </row>
    <row r="42" spans="1:61" s="245" customFormat="1" ht="15" x14ac:dyDescent="0.25">
      <c r="R42" s="307"/>
      <c r="AP42" s="699"/>
      <c r="BA42" s="287" t="str">
        <f t="shared" ca="1" si="1"/>
        <v/>
      </c>
      <c r="BB42" s="324">
        <f t="shared" ca="1" si="6"/>
        <v>0</v>
      </c>
      <c r="BC42" s="324"/>
      <c r="BD42" s="324">
        <f t="shared" ca="1" si="2"/>
        <v>0</v>
      </c>
      <c r="BE42" s="324">
        <f t="shared" ca="1" si="7"/>
        <v>0</v>
      </c>
      <c r="BF42" s="413">
        <f t="shared" ca="1" si="0"/>
        <v>0</v>
      </c>
      <c r="BG42" s="278">
        <f t="shared" ca="1" si="3"/>
        <v>0</v>
      </c>
      <c r="BH42" s="287">
        <f t="shared" ca="1" si="4"/>
        <v>0</v>
      </c>
      <c r="BI42" s="287"/>
    </row>
    <row r="43" spans="1:61" s="245" customFormat="1" ht="15" x14ac:dyDescent="0.25">
      <c r="R43" s="307"/>
      <c r="BA43" s="287" t="str">
        <f t="shared" ca="1" si="1"/>
        <v/>
      </c>
      <c r="BB43" s="324">
        <f t="shared" ca="1" si="6"/>
        <v>0</v>
      </c>
      <c r="BC43" s="324"/>
      <c r="BD43" s="324">
        <f t="shared" ca="1" si="2"/>
        <v>0</v>
      </c>
      <c r="BE43" s="324">
        <f t="shared" ca="1" si="7"/>
        <v>0</v>
      </c>
      <c r="BF43" s="413">
        <f t="shared" ca="1" si="0"/>
        <v>0</v>
      </c>
      <c r="BG43" s="278">
        <f t="shared" ca="1" si="3"/>
        <v>0</v>
      </c>
      <c r="BH43" s="287">
        <f t="shared" ca="1" si="4"/>
        <v>0</v>
      </c>
      <c r="BI43" s="287"/>
    </row>
    <row r="44" spans="1:61" s="245" customFormat="1" ht="15" x14ac:dyDescent="0.25">
      <c r="R44" s="307"/>
      <c r="S44" s="407"/>
      <c r="BA44" s="287" t="str">
        <f t="shared" ca="1" si="1"/>
        <v/>
      </c>
      <c r="BB44" s="324">
        <f t="shared" ca="1" si="6"/>
        <v>0</v>
      </c>
      <c r="BC44" s="324"/>
      <c r="BD44" s="324">
        <f t="shared" ca="1" si="2"/>
        <v>0</v>
      </c>
      <c r="BE44" s="324">
        <f t="shared" ca="1" si="7"/>
        <v>0</v>
      </c>
      <c r="BF44" s="413">
        <f t="shared" ca="1" si="0"/>
        <v>0</v>
      </c>
      <c r="BG44" s="278">
        <f t="shared" ca="1" si="3"/>
        <v>0</v>
      </c>
      <c r="BH44" s="287">
        <f t="shared" ca="1" si="4"/>
        <v>0</v>
      </c>
      <c r="BI44" s="287"/>
    </row>
    <row r="45" spans="1:61" s="245" customFormat="1" ht="15" x14ac:dyDescent="0.25">
      <c r="R45" s="409"/>
      <c r="S45" s="384"/>
      <c r="BA45" s="287" t="str">
        <f t="shared" ca="1" si="1"/>
        <v/>
      </c>
      <c r="BB45" s="324">
        <f t="shared" ca="1" si="6"/>
        <v>0</v>
      </c>
      <c r="BC45" s="324"/>
      <c r="BD45" s="324">
        <f t="shared" ca="1" si="2"/>
        <v>0</v>
      </c>
      <c r="BE45" s="324">
        <f t="shared" ca="1" si="7"/>
        <v>0</v>
      </c>
      <c r="BF45" s="413">
        <f t="shared" ca="1" si="0"/>
        <v>0</v>
      </c>
      <c r="BG45" s="278">
        <f t="shared" ca="1" si="3"/>
        <v>0</v>
      </c>
      <c r="BH45" s="287">
        <f t="shared" ca="1" si="4"/>
        <v>0</v>
      </c>
      <c r="BI45" s="287"/>
    </row>
    <row r="46" spans="1:61" s="245" customFormat="1" ht="15" x14ac:dyDescent="0.25">
      <c r="S46" s="384"/>
      <c r="BA46" s="287" t="str">
        <f t="shared" ca="1" si="1"/>
        <v/>
      </c>
      <c r="BB46" s="324">
        <f t="shared" ca="1" si="6"/>
        <v>0</v>
      </c>
      <c r="BC46" s="324"/>
      <c r="BD46" s="324">
        <f t="shared" ca="1" si="2"/>
        <v>0</v>
      </c>
      <c r="BE46" s="324">
        <f t="shared" ca="1" si="7"/>
        <v>0</v>
      </c>
      <c r="BF46" s="413">
        <f t="shared" ca="1" si="0"/>
        <v>0</v>
      </c>
      <c r="BG46" s="278">
        <f t="shared" ca="1" si="3"/>
        <v>0</v>
      </c>
      <c r="BH46" s="287">
        <f t="shared" ca="1" si="4"/>
        <v>0</v>
      </c>
      <c r="BI46" s="287"/>
    </row>
    <row r="47" spans="1:61" s="245" customFormat="1" ht="15" x14ac:dyDescent="0.25">
      <c r="S47" s="384"/>
      <c r="AM47" s="699"/>
      <c r="AN47" s="699"/>
      <c r="BA47" s="287" t="str">
        <f t="shared" ca="1" si="1"/>
        <v/>
      </c>
      <c r="BB47" s="324">
        <f t="shared" ca="1" si="6"/>
        <v>0</v>
      </c>
      <c r="BC47" s="324"/>
      <c r="BD47" s="324">
        <f t="shared" ca="1" si="2"/>
        <v>0</v>
      </c>
      <c r="BE47" s="324">
        <f t="shared" ca="1" si="7"/>
        <v>0</v>
      </c>
      <c r="BF47" s="413">
        <f t="shared" ca="1" si="0"/>
        <v>0</v>
      </c>
      <c r="BG47" s="278">
        <f t="shared" ca="1" si="3"/>
        <v>0</v>
      </c>
      <c r="BH47" s="287">
        <f t="shared" ca="1" si="4"/>
        <v>0</v>
      </c>
      <c r="BI47" s="287"/>
    </row>
    <row r="48" spans="1:61" s="245" customFormat="1" ht="15" x14ac:dyDescent="0.25">
      <c r="S48" s="384"/>
      <c r="BA48" s="287" t="str">
        <f t="shared" ca="1" si="1"/>
        <v/>
      </c>
      <c r="BB48" s="324">
        <f t="shared" ca="1" si="6"/>
        <v>0</v>
      </c>
      <c r="BC48" s="324"/>
      <c r="BD48" s="324">
        <f t="shared" ca="1" si="2"/>
        <v>0</v>
      </c>
      <c r="BE48" s="324">
        <f t="shared" ca="1" si="7"/>
        <v>0</v>
      </c>
      <c r="BF48" s="413">
        <f t="shared" ca="1" si="0"/>
        <v>0</v>
      </c>
      <c r="BG48" s="278">
        <f t="shared" ca="1" si="3"/>
        <v>0</v>
      </c>
      <c r="BH48" s="287">
        <f t="shared" ca="1" si="4"/>
        <v>0</v>
      </c>
      <c r="BI48" s="287"/>
    </row>
    <row r="49" spans="19:61" s="245" customFormat="1" ht="15" x14ac:dyDescent="0.25">
      <c r="S49" s="384"/>
      <c r="BA49" s="287" t="str">
        <f t="shared" ca="1" si="1"/>
        <v/>
      </c>
      <c r="BB49" s="324">
        <f t="shared" ca="1" si="6"/>
        <v>0</v>
      </c>
      <c r="BC49" s="324"/>
      <c r="BD49" s="324">
        <f t="shared" ca="1" si="2"/>
        <v>0</v>
      </c>
      <c r="BE49" s="324">
        <f t="shared" ca="1" si="7"/>
        <v>0</v>
      </c>
      <c r="BF49" s="413">
        <f t="shared" ca="1" si="0"/>
        <v>0</v>
      </c>
      <c r="BG49" s="278">
        <f t="shared" ca="1" si="3"/>
        <v>0</v>
      </c>
      <c r="BH49" s="287">
        <f t="shared" ca="1" si="4"/>
        <v>0</v>
      </c>
      <c r="BI49" s="287"/>
    </row>
    <row r="50" spans="19:61" s="245" customFormat="1" ht="15" x14ac:dyDescent="0.25">
      <c r="BA50" s="287" t="str">
        <f t="shared" ca="1" si="1"/>
        <v/>
      </c>
      <c r="BB50" s="324">
        <f t="shared" ca="1" si="6"/>
        <v>0</v>
      </c>
      <c r="BC50" s="324"/>
      <c r="BD50" s="324">
        <f t="shared" ca="1" si="2"/>
        <v>0</v>
      </c>
      <c r="BE50" s="324">
        <f t="shared" ca="1" si="7"/>
        <v>0</v>
      </c>
      <c r="BF50" s="413">
        <f t="shared" ca="1" si="0"/>
        <v>0</v>
      </c>
      <c r="BG50" s="278">
        <f t="shared" ca="1" si="3"/>
        <v>0</v>
      </c>
      <c r="BH50" s="287">
        <f t="shared" ca="1" si="4"/>
        <v>0</v>
      </c>
      <c r="BI50" s="287"/>
    </row>
    <row r="51" spans="19:61" s="245" customFormat="1" ht="15" x14ac:dyDescent="0.25">
      <c r="BA51" s="287" t="str">
        <f t="shared" ca="1" si="1"/>
        <v/>
      </c>
      <c r="BB51" s="324">
        <f t="shared" ca="1" si="6"/>
        <v>0</v>
      </c>
      <c r="BC51" s="324"/>
      <c r="BD51" s="324">
        <f t="shared" ca="1" si="2"/>
        <v>0</v>
      </c>
      <c r="BE51" s="324">
        <f t="shared" ca="1" si="7"/>
        <v>0</v>
      </c>
      <c r="BF51" s="413">
        <f t="shared" ca="1" si="0"/>
        <v>0</v>
      </c>
      <c r="BG51" s="278">
        <f t="shared" ca="1" si="3"/>
        <v>0</v>
      </c>
      <c r="BH51" s="287">
        <f t="shared" ca="1" si="4"/>
        <v>0</v>
      </c>
      <c r="BI51" s="287"/>
    </row>
    <row r="52" spans="19:61" s="245" customFormat="1" ht="15" x14ac:dyDescent="0.25">
      <c r="BA52" s="287" t="str">
        <f t="shared" ca="1" si="1"/>
        <v/>
      </c>
      <c r="BB52" s="324">
        <f t="shared" ca="1" si="6"/>
        <v>0</v>
      </c>
      <c r="BC52" s="324"/>
      <c r="BD52" s="324">
        <f t="shared" ca="1" si="2"/>
        <v>0</v>
      </c>
      <c r="BE52" s="324">
        <f t="shared" ca="1" si="7"/>
        <v>0</v>
      </c>
      <c r="BF52" s="413">
        <f t="shared" ca="1" si="0"/>
        <v>0</v>
      </c>
      <c r="BG52" s="278">
        <f t="shared" ca="1" si="3"/>
        <v>0</v>
      </c>
      <c r="BH52" s="287">
        <f t="shared" ca="1" si="4"/>
        <v>0</v>
      </c>
      <c r="BI52" s="287"/>
    </row>
    <row r="53" spans="19:61" s="245" customFormat="1" ht="15" x14ac:dyDescent="0.25">
      <c r="BA53" s="287" t="str">
        <f t="shared" ca="1" si="1"/>
        <v/>
      </c>
      <c r="BB53" s="324">
        <f t="shared" ca="1" si="6"/>
        <v>0</v>
      </c>
      <c r="BC53" s="324"/>
      <c r="BD53" s="324">
        <f t="shared" ca="1" si="2"/>
        <v>0</v>
      </c>
      <c r="BE53" s="324">
        <f t="shared" ca="1" si="7"/>
        <v>0</v>
      </c>
      <c r="BF53" s="413">
        <f t="shared" ca="1" si="0"/>
        <v>0</v>
      </c>
      <c r="BG53" s="278">
        <f t="shared" ca="1" si="3"/>
        <v>0</v>
      </c>
      <c r="BH53" s="287">
        <f t="shared" ca="1" si="4"/>
        <v>0</v>
      </c>
      <c r="BI53" s="287"/>
    </row>
    <row r="54" spans="19:61" s="245" customFormat="1" ht="15" x14ac:dyDescent="0.25">
      <c r="BA54" s="287" t="str">
        <f t="shared" ca="1" si="1"/>
        <v/>
      </c>
      <c r="BB54" s="324">
        <f t="shared" ca="1" si="6"/>
        <v>0</v>
      </c>
      <c r="BC54" s="324"/>
      <c r="BD54" s="324">
        <f t="shared" ca="1" si="2"/>
        <v>0</v>
      </c>
      <c r="BE54" s="324">
        <f t="shared" ca="1" si="7"/>
        <v>0</v>
      </c>
      <c r="BF54" s="413">
        <f t="shared" ca="1" si="0"/>
        <v>0</v>
      </c>
      <c r="BG54" s="278">
        <f t="shared" ca="1" si="3"/>
        <v>0</v>
      </c>
      <c r="BH54" s="287">
        <f t="shared" ca="1" si="4"/>
        <v>0</v>
      </c>
      <c r="BI54" s="287"/>
    </row>
    <row r="55" spans="19:61" s="245" customFormat="1" ht="15" x14ac:dyDescent="0.25">
      <c r="BA55" s="287" t="str">
        <f t="shared" ca="1" si="1"/>
        <v/>
      </c>
      <c r="BB55" s="324">
        <f t="shared" ca="1" si="6"/>
        <v>0</v>
      </c>
      <c r="BC55" s="324"/>
      <c r="BD55" s="324">
        <f t="shared" ca="1" si="2"/>
        <v>0</v>
      </c>
      <c r="BE55" s="324">
        <f t="shared" ca="1" si="7"/>
        <v>0</v>
      </c>
      <c r="BF55" s="413">
        <f t="shared" ca="1" si="0"/>
        <v>0</v>
      </c>
      <c r="BG55" s="278">
        <f t="shared" ca="1" si="3"/>
        <v>0</v>
      </c>
      <c r="BH55" s="287">
        <f t="shared" ca="1" si="4"/>
        <v>0</v>
      </c>
      <c r="BI55" s="287"/>
    </row>
    <row r="56" spans="19:61" s="245" customFormat="1" ht="15" x14ac:dyDescent="0.25">
      <c r="BA56" s="287" t="str">
        <f t="shared" ca="1" si="1"/>
        <v/>
      </c>
      <c r="BB56" s="324">
        <f t="shared" ca="1" si="6"/>
        <v>0</v>
      </c>
      <c r="BC56" s="324"/>
      <c r="BD56" s="324">
        <f t="shared" ca="1" si="2"/>
        <v>0</v>
      </c>
      <c r="BE56" s="324">
        <f t="shared" ca="1" si="7"/>
        <v>0</v>
      </c>
      <c r="BF56" s="413">
        <f t="shared" ca="1" si="0"/>
        <v>0</v>
      </c>
      <c r="BG56" s="278">
        <f t="shared" ca="1" si="3"/>
        <v>0</v>
      </c>
      <c r="BH56" s="287">
        <f t="shared" ca="1" si="4"/>
        <v>0</v>
      </c>
      <c r="BI56" s="287"/>
    </row>
    <row r="57" spans="19:61" s="245" customFormat="1" ht="15" x14ac:dyDescent="0.25">
      <c r="BA57" s="287" t="str">
        <f t="shared" ca="1" si="1"/>
        <v/>
      </c>
      <c r="BB57" s="324">
        <f t="shared" ca="1" si="6"/>
        <v>0</v>
      </c>
      <c r="BC57" s="324"/>
      <c r="BD57" s="324">
        <f t="shared" ca="1" si="2"/>
        <v>0</v>
      </c>
      <c r="BE57" s="324">
        <f t="shared" ca="1" si="7"/>
        <v>0</v>
      </c>
      <c r="BF57" s="413">
        <f t="shared" ca="1" si="0"/>
        <v>0</v>
      </c>
      <c r="BG57" s="278">
        <f t="shared" ca="1" si="3"/>
        <v>0</v>
      </c>
      <c r="BH57" s="287">
        <f t="shared" ca="1" si="4"/>
        <v>0</v>
      </c>
      <c r="BI57" s="287"/>
    </row>
    <row r="58" spans="19:61" s="245" customFormat="1" ht="15" x14ac:dyDescent="0.25">
      <c r="BA58" s="287" t="str">
        <f t="shared" ca="1" si="1"/>
        <v/>
      </c>
      <c r="BB58" s="324">
        <f t="shared" ca="1" si="6"/>
        <v>0</v>
      </c>
      <c r="BC58" s="324"/>
      <c r="BD58" s="324">
        <f t="shared" ca="1" si="2"/>
        <v>0</v>
      </c>
      <c r="BE58" s="324">
        <f t="shared" ca="1" si="7"/>
        <v>0</v>
      </c>
      <c r="BF58" s="413">
        <f t="shared" ca="1" si="0"/>
        <v>0</v>
      </c>
      <c r="BG58" s="278">
        <f t="shared" ca="1" si="3"/>
        <v>0</v>
      </c>
      <c r="BH58" s="287">
        <f t="shared" ca="1" si="4"/>
        <v>0</v>
      </c>
      <c r="BI58" s="287"/>
    </row>
    <row r="59" spans="19:61" s="245" customFormat="1" ht="15" x14ac:dyDescent="0.25">
      <c r="BA59" s="287" t="str">
        <f t="shared" ca="1" si="1"/>
        <v/>
      </c>
      <c r="BB59" s="324">
        <f t="shared" ca="1" si="6"/>
        <v>0</v>
      </c>
      <c r="BC59" s="324"/>
      <c r="BD59" s="324">
        <f t="shared" ca="1" si="2"/>
        <v>0</v>
      </c>
      <c r="BE59" s="324">
        <f t="shared" ca="1" si="7"/>
        <v>0</v>
      </c>
      <c r="BF59" s="413">
        <f t="shared" ca="1" si="0"/>
        <v>0</v>
      </c>
      <c r="BG59" s="278">
        <f t="shared" ca="1" si="3"/>
        <v>0</v>
      </c>
      <c r="BH59" s="287">
        <f t="shared" ca="1" si="4"/>
        <v>0</v>
      </c>
      <c r="BI59" s="287"/>
    </row>
    <row r="60" spans="19:61" s="245" customFormat="1" ht="15" x14ac:dyDescent="0.25">
      <c r="BA60" s="287" t="str">
        <f t="shared" ca="1" si="1"/>
        <v/>
      </c>
      <c r="BB60" s="324">
        <f t="shared" ca="1" si="6"/>
        <v>0</v>
      </c>
      <c r="BC60" s="324"/>
      <c r="BD60" s="324">
        <f t="shared" ca="1" si="2"/>
        <v>0</v>
      </c>
      <c r="BE60" s="324">
        <f t="shared" ca="1" si="7"/>
        <v>0</v>
      </c>
      <c r="BF60" s="413">
        <f t="shared" ca="1" si="0"/>
        <v>0</v>
      </c>
      <c r="BG60" s="278">
        <f t="shared" ca="1" si="3"/>
        <v>0</v>
      </c>
      <c r="BH60" s="287">
        <f t="shared" ca="1" si="4"/>
        <v>0</v>
      </c>
      <c r="BI60" s="287"/>
    </row>
    <row r="61" spans="19:61" s="245" customFormat="1" ht="15" x14ac:dyDescent="0.25">
      <c r="BA61" s="287" t="str">
        <f t="shared" ca="1" si="1"/>
        <v/>
      </c>
      <c r="BB61" s="324">
        <f t="shared" ca="1" si="6"/>
        <v>0</v>
      </c>
      <c r="BC61" s="324"/>
      <c r="BD61" s="324">
        <f t="shared" ca="1" si="2"/>
        <v>0</v>
      </c>
      <c r="BE61" s="324">
        <f t="shared" ca="1" si="7"/>
        <v>0</v>
      </c>
      <c r="BF61" s="413">
        <f t="shared" ca="1" si="0"/>
        <v>0</v>
      </c>
      <c r="BG61" s="278">
        <f t="shared" ca="1" si="3"/>
        <v>0</v>
      </c>
      <c r="BH61" s="287">
        <f t="shared" ca="1" si="4"/>
        <v>0</v>
      </c>
      <c r="BI61" s="287"/>
    </row>
    <row r="62" spans="19:61" s="245" customFormat="1" ht="15" x14ac:dyDescent="0.25">
      <c r="BA62" s="287" t="str">
        <f t="shared" ca="1" si="1"/>
        <v/>
      </c>
      <c r="BB62" s="324">
        <f t="shared" ca="1" si="6"/>
        <v>0</v>
      </c>
      <c r="BC62" s="324"/>
      <c r="BD62" s="324">
        <f t="shared" ca="1" si="2"/>
        <v>0</v>
      </c>
      <c r="BE62" s="324">
        <f t="shared" ca="1" si="7"/>
        <v>0</v>
      </c>
      <c r="BF62" s="413">
        <f t="shared" ca="1" si="0"/>
        <v>0</v>
      </c>
      <c r="BG62" s="278">
        <f t="shared" ca="1" si="3"/>
        <v>0</v>
      </c>
      <c r="BH62" s="287">
        <f t="shared" ca="1" si="4"/>
        <v>0</v>
      </c>
      <c r="BI62" s="287"/>
    </row>
    <row r="63" spans="19:61" s="245" customFormat="1" ht="15" x14ac:dyDescent="0.25">
      <c r="BA63" s="287" t="str">
        <f t="shared" ca="1" si="1"/>
        <v/>
      </c>
      <c r="BB63" s="324">
        <f t="shared" ca="1" si="6"/>
        <v>0</v>
      </c>
      <c r="BC63" s="324"/>
      <c r="BD63" s="324">
        <f t="shared" ca="1" si="2"/>
        <v>0</v>
      </c>
      <c r="BE63" s="324">
        <f t="shared" ca="1" si="7"/>
        <v>0</v>
      </c>
      <c r="BF63" s="413">
        <f t="shared" ca="1" si="0"/>
        <v>0</v>
      </c>
      <c r="BG63" s="278">
        <f t="shared" ca="1" si="3"/>
        <v>0</v>
      </c>
      <c r="BH63" s="287">
        <f t="shared" ca="1" si="4"/>
        <v>0</v>
      </c>
      <c r="BI63" s="287"/>
    </row>
    <row r="64" spans="19:61" s="245" customFormat="1" ht="15" x14ac:dyDescent="0.25">
      <c r="BA64" s="287" t="str">
        <f t="shared" ca="1" si="1"/>
        <v/>
      </c>
      <c r="BB64" s="324">
        <f t="shared" ca="1" si="6"/>
        <v>0</v>
      </c>
      <c r="BC64" s="324"/>
      <c r="BD64" s="324">
        <f t="shared" ca="1" si="2"/>
        <v>0</v>
      </c>
      <c r="BE64" s="324">
        <f t="shared" ca="1" si="7"/>
        <v>0</v>
      </c>
      <c r="BF64" s="413">
        <f t="shared" ca="1" si="0"/>
        <v>0</v>
      </c>
      <c r="BG64" s="278">
        <f t="shared" ca="1" si="3"/>
        <v>0</v>
      </c>
      <c r="BH64" s="287">
        <f t="shared" ca="1" si="4"/>
        <v>0</v>
      </c>
      <c r="BI64" s="287"/>
    </row>
    <row r="65" spans="53:61" s="245" customFormat="1" ht="15" x14ac:dyDescent="0.25">
      <c r="BA65" s="287" t="str">
        <f t="shared" ca="1" si="1"/>
        <v/>
      </c>
      <c r="BB65" s="324">
        <f t="shared" ca="1" si="6"/>
        <v>0</v>
      </c>
      <c r="BC65" s="324"/>
      <c r="BD65" s="324">
        <f t="shared" ca="1" si="2"/>
        <v>0</v>
      </c>
      <c r="BE65" s="324">
        <f t="shared" ca="1" si="7"/>
        <v>0</v>
      </c>
      <c r="BF65" s="413">
        <f t="shared" ca="1" si="0"/>
        <v>0</v>
      </c>
      <c r="BG65" s="278">
        <f t="shared" ca="1" si="3"/>
        <v>0</v>
      </c>
      <c r="BH65" s="287">
        <f t="shared" ca="1" si="4"/>
        <v>0</v>
      </c>
      <c r="BI65" s="287"/>
    </row>
    <row r="66" spans="53:61" s="245" customFormat="1" ht="15" x14ac:dyDescent="0.25">
      <c r="BA66" s="287" t="str">
        <f t="shared" ca="1" si="1"/>
        <v/>
      </c>
      <c r="BB66" s="324">
        <f t="shared" ca="1" si="6"/>
        <v>0</v>
      </c>
      <c r="BC66" s="324"/>
      <c r="BD66" s="324">
        <f t="shared" ca="1" si="2"/>
        <v>0</v>
      </c>
      <c r="BE66" s="324">
        <f t="shared" ca="1" si="7"/>
        <v>0</v>
      </c>
      <c r="BF66" s="413">
        <f t="shared" ca="1" si="0"/>
        <v>0</v>
      </c>
      <c r="BG66" s="278">
        <f t="shared" ca="1" si="3"/>
        <v>0</v>
      </c>
      <c r="BH66" s="287">
        <f t="shared" ca="1" si="4"/>
        <v>0</v>
      </c>
      <c r="BI66" s="287"/>
    </row>
    <row r="67" spans="53:61" s="245" customFormat="1" ht="15" x14ac:dyDescent="0.25">
      <c r="BA67" s="287" t="str">
        <f t="shared" ca="1" si="1"/>
        <v/>
      </c>
      <c r="BB67" s="324">
        <f t="shared" ca="1" si="6"/>
        <v>0</v>
      </c>
      <c r="BC67" s="324"/>
      <c r="BD67" s="324">
        <f t="shared" ca="1" si="2"/>
        <v>0</v>
      </c>
      <c r="BE67" s="324">
        <f t="shared" ca="1" si="7"/>
        <v>0</v>
      </c>
      <c r="BF67" s="413">
        <f t="shared" ca="1" si="0"/>
        <v>0</v>
      </c>
      <c r="BG67" s="278">
        <f t="shared" ca="1" si="3"/>
        <v>0</v>
      </c>
      <c r="BH67" s="287">
        <f t="shared" ca="1" si="4"/>
        <v>0</v>
      </c>
      <c r="BI67" s="287"/>
    </row>
    <row r="68" spans="53:61" s="245" customFormat="1" ht="15" x14ac:dyDescent="0.25">
      <c r="BA68" s="287" t="str">
        <f t="shared" ca="1" si="1"/>
        <v/>
      </c>
      <c r="BB68" s="324">
        <f t="shared" ca="1" si="6"/>
        <v>0</v>
      </c>
      <c r="BC68" s="324"/>
      <c r="BD68" s="324">
        <f t="shared" ca="1" si="2"/>
        <v>0</v>
      </c>
      <c r="BE68" s="324">
        <f t="shared" ca="1" si="7"/>
        <v>0</v>
      </c>
      <c r="BF68" s="413">
        <f t="shared" ref="BF68:BF110" ca="1" si="9">IF(ISNUMBER(BA69),BC68+BD68,BC68+BD68+BE68*$D$16)</f>
        <v>0</v>
      </c>
      <c r="BG68" s="278">
        <f t="shared" ca="1" si="3"/>
        <v>0</v>
      </c>
      <c r="BH68" s="287">
        <f t="shared" ca="1" si="4"/>
        <v>0</v>
      </c>
      <c r="BI68" s="287"/>
    </row>
    <row r="69" spans="53:61" s="245" customFormat="1" ht="15" x14ac:dyDescent="0.25">
      <c r="BA69" s="287" t="str">
        <f t="shared" ref="BA69:BA111" ca="1" si="10">IF(BA68&lt;$D$14,BA68+1,"")</f>
        <v/>
      </c>
      <c r="BB69" s="324">
        <f t="shared" ca="1" si="6"/>
        <v>0</v>
      </c>
      <c r="BC69" s="324"/>
      <c r="BD69" s="324">
        <f t="shared" ref="BD69:BD111" ca="1" si="11">$D$10*BB69</f>
        <v>0</v>
      </c>
      <c r="BE69" s="324">
        <f t="shared" ca="1" si="7"/>
        <v>0</v>
      </c>
      <c r="BF69" s="413">
        <f t="shared" ca="1" si="9"/>
        <v>0</v>
      </c>
      <c r="BG69" s="278">
        <f t="shared" ref="BG69:BG111" ca="1" si="12">IF(ISNUMBER(BA69),LN(BF69+$J$39)-LN($J$39),0)</f>
        <v>0</v>
      </c>
      <c r="BH69" s="287">
        <f t="shared" ref="BH69:BH111" ca="1" si="13">IF(ISNUMBER(BA69),BG69/(1+$D$7)^BA69,0)</f>
        <v>0</v>
      </c>
      <c r="BI69" s="287"/>
    </row>
    <row r="70" spans="53:61" s="245" customFormat="1" ht="15" x14ac:dyDescent="0.25">
      <c r="BA70" s="287" t="str">
        <f t="shared" ca="1" si="10"/>
        <v/>
      </c>
      <c r="BB70" s="324">
        <f t="shared" ref="BB70:BB111" ca="1" si="14">IF(ISNUMBER(BA70),BE69,0)</f>
        <v>0</v>
      </c>
      <c r="BC70" s="324"/>
      <c r="BD70" s="324">
        <f t="shared" ca="1" si="11"/>
        <v>0</v>
      </c>
      <c r="BE70" s="324">
        <f t="shared" ref="BE70:BE111" ca="1" si="15">BB70</f>
        <v>0</v>
      </c>
      <c r="BF70" s="413">
        <f t="shared" ca="1" si="9"/>
        <v>0</v>
      </c>
      <c r="BG70" s="278">
        <f t="shared" ca="1" si="12"/>
        <v>0</v>
      </c>
      <c r="BH70" s="287">
        <f t="shared" ca="1" si="13"/>
        <v>0</v>
      </c>
      <c r="BI70" s="287"/>
    </row>
    <row r="71" spans="53:61" s="245" customFormat="1" ht="15" x14ac:dyDescent="0.25">
      <c r="BA71" s="287" t="str">
        <f t="shared" ca="1" si="10"/>
        <v/>
      </c>
      <c r="BB71" s="324">
        <f t="shared" ca="1" si="14"/>
        <v>0</v>
      </c>
      <c r="BC71" s="324"/>
      <c r="BD71" s="324">
        <f t="shared" ca="1" si="11"/>
        <v>0</v>
      </c>
      <c r="BE71" s="324">
        <f t="shared" ca="1" si="15"/>
        <v>0</v>
      </c>
      <c r="BF71" s="413">
        <f t="shared" ca="1" si="9"/>
        <v>0</v>
      </c>
      <c r="BG71" s="278">
        <f t="shared" ca="1" si="12"/>
        <v>0</v>
      </c>
      <c r="BH71" s="287">
        <f t="shared" ca="1" si="13"/>
        <v>0</v>
      </c>
      <c r="BI71" s="287"/>
    </row>
    <row r="72" spans="53:61" s="245" customFormat="1" ht="15" x14ac:dyDescent="0.25">
      <c r="BA72" s="287" t="str">
        <f t="shared" ca="1" si="10"/>
        <v/>
      </c>
      <c r="BB72" s="324">
        <f t="shared" ca="1" si="14"/>
        <v>0</v>
      </c>
      <c r="BC72" s="324"/>
      <c r="BD72" s="324">
        <f t="shared" ca="1" si="11"/>
        <v>0</v>
      </c>
      <c r="BE72" s="324">
        <f t="shared" ca="1" si="15"/>
        <v>0</v>
      </c>
      <c r="BF72" s="413">
        <f t="shared" ca="1" si="9"/>
        <v>0</v>
      </c>
      <c r="BG72" s="278">
        <f t="shared" ca="1" si="12"/>
        <v>0</v>
      </c>
      <c r="BH72" s="287">
        <f t="shared" ca="1" si="13"/>
        <v>0</v>
      </c>
      <c r="BI72" s="287"/>
    </row>
    <row r="73" spans="53:61" s="245" customFormat="1" ht="15" x14ac:dyDescent="0.25">
      <c r="BA73" s="287" t="str">
        <f t="shared" ca="1" si="10"/>
        <v/>
      </c>
      <c r="BB73" s="324">
        <f t="shared" ca="1" si="14"/>
        <v>0</v>
      </c>
      <c r="BC73" s="324"/>
      <c r="BD73" s="324">
        <f t="shared" ca="1" si="11"/>
        <v>0</v>
      </c>
      <c r="BE73" s="324">
        <f t="shared" ca="1" si="15"/>
        <v>0</v>
      </c>
      <c r="BF73" s="413">
        <f t="shared" ca="1" si="9"/>
        <v>0</v>
      </c>
      <c r="BG73" s="278">
        <f t="shared" ca="1" si="12"/>
        <v>0</v>
      </c>
      <c r="BH73" s="287">
        <f t="shared" ca="1" si="13"/>
        <v>0</v>
      </c>
      <c r="BI73" s="287"/>
    </row>
    <row r="74" spans="53:61" s="245" customFormat="1" ht="15" x14ac:dyDescent="0.25">
      <c r="BA74" s="287" t="str">
        <f t="shared" ca="1" si="10"/>
        <v/>
      </c>
      <c r="BB74" s="324">
        <f t="shared" ca="1" si="14"/>
        <v>0</v>
      </c>
      <c r="BC74" s="324"/>
      <c r="BD74" s="324">
        <f t="shared" ca="1" si="11"/>
        <v>0</v>
      </c>
      <c r="BE74" s="324">
        <f t="shared" ca="1" si="15"/>
        <v>0</v>
      </c>
      <c r="BF74" s="413">
        <f t="shared" ca="1" si="9"/>
        <v>0</v>
      </c>
      <c r="BG74" s="278">
        <f t="shared" ca="1" si="12"/>
        <v>0</v>
      </c>
      <c r="BH74" s="287">
        <f t="shared" ca="1" si="13"/>
        <v>0</v>
      </c>
      <c r="BI74" s="287"/>
    </row>
    <row r="75" spans="53:61" s="245" customFormat="1" ht="15" x14ac:dyDescent="0.25">
      <c r="BA75" s="287" t="str">
        <f t="shared" ca="1" si="10"/>
        <v/>
      </c>
      <c r="BB75" s="324">
        <f t="shared" ca="1" si="14"/>
        <v>0</v>
      </c>
      <c r="BC75" s="324"/>
      <c r="BD75" s="324">
        <f t="shared" ca="1" si="11"/>
        <v>0</v>
      </c>
      <c r="BE75" s="324">
        <f t="shared" ca="1" si="15"/>
        <v>0</v>
      </c>
      <c r="BF75" s="413">
        <f t="shared" ca="1" si="9"/>
        <v>0</v>
      </c>
      <c r="BG75" s="278">
        <f t="shared" ca="1" si="12"/>
        <v>0</v>
      </c>
      <c r="BH75" s="287">
        <f t="shared" ca="1" si="13"/>
        <v>0</v>
      </c>
      <c r="BI75" s="287"/>
    </row>
    <row r="76" spans="53:61" s="245" customFormat="1" ht="15" x14ac:dyDescent="0.25">
      <c r="BA76" s="287" t="str">
        <f t="shared" ca="1" si="10"/>
        <v/>
      </c>
      <c r="BB76" s="324">
        <f t="shared" ca="1" si="14"/>
        <v>0</v>
      </c>
      <c r="BC76" s="324"/>
      <c r="BD76" s="324">
        <f t="shared" ca="1" si="11"/>
        <v>0</v>
      </c>
      <c r="BE76" s="324">
        <f t="shared" ca="1" si="15"/>
        <v>0</v>
      </c>
      <c r="BF76" s="413">
        <f t="shared" ca="1" si="9"/>
        <v>0</v>
      </c>
      <c r="BG76" s="278">
        <f t="shared" ca="1" si="12"/>
        <v>0</v>
      </c>
      <c r="BH76" s="287">
        <f t="shared" ca="1" si="13"/>
        <v>0</v>
      </c>
      <c r="BI76" s="287"/>
    </row>
    <row r="77" spans="53:61" s="245" customFormat="1" ht="15" x14ac:dyDescent="0.25">
      <c r="BA77" s="287" t="str">
        <f t="shared" ca="1" si="10"/>
        <v/>
      </c>
      <c r="BB77" s="324">
        <f t="shared" ca="1" si="14"/>
        <v>0</v>
      </c>
      <c r="BC77" s="324"/>
      <c r="BD77" s="324">
        <f t="shared" ca="1" si="11"/>
        <v>0</v>
      </c>
      <c r="BE77" s="324">
        <f t="shared" ca="1" si="15"/>
        <v>0</v>
      </c>
      <c r="BF77" s="413">
        <f t="shared" ca="1" si="9"/>
        <v>0</v>
      </c>
      <c r="BG77" s="278">
        <f t="shared" ca="1" si="12"/>
        <v>0</v>
      </c>
      <c r="BH77" s="287">
        <f t="shared" ca="1" si="13"/>
        <v>0</v>
      </c>
      <c r="BI77" s="287"/>
    </row>
    <row r="78" spans="53:61" s="245" customFormat="1" ht="15" x14ac:dyDescent="0.25">
      <c r="BA78" s="287" t="str">
        <f t="shared" ca="1" si="10"/>
        <v/>
      </c>
      <c r="BB78" s="324">
        <f t="shared" ca="1" si="14"/>
        <v>0</v>
      </c>
      <c r="BC78" s="324"/>
      <c r="BD78" s="324">
        <f t="shared" ca="1" si="11"/>
        <v>0</v>
      </c>
      <c r="BE78" s="324">
        <f t="shared" ca="1" si="15"/>
        <v>0</v>
      </c>
      <c r="BF78" s="413">
        <f t="shared" ca="1" si="9"/>
        <v>0</v>
      </c>
      <c r="BG78" s="278">
        <f t="shared" ca="1" si="12"/>
        <v>0</v>
      </c>
      <c r="BH78" s="287">
        <f t="shared" ca="1" si="13"/>
        <v>0</v>
      </c>
      <c r="BI78" s="287"/>
    </row>
    <row r="79" spans="53:61" s="245" customFormat="1" ht="15" x14ac:dyDescent="0.25">
      <c r="BA79" s="287" t="str">
        <f t="shared" ca="1" si="10"/>
        <v/>
      </c>
      <c r="BB79" s="324">
        <f t="shared" ca="1" si="14"/>
        <v>0</v>
      </c>
      <c r="BC79" s="324"/>
      <c r="BD79" s="324">
        <f t="shared" ca="1" si="11"/>
        <v>0</v>
      </c>
      <c r="BE79" s="324">
        <f t="shared" ca="1" si="15"/>
        <v>0</v>
      </c>
      <c r="BF79" s="413">
        <f t="shared" ca="1" si="9"/>
        <v>0</v>
      </c>
      <c r="BG79" s="278">
        <f t="shared" ca="1" si="12"/>
        <v>0</v>
      </c>
      <c r="BH79" s="287">
        <f t="shared" ca="1" si="13"/>
        <v>0</v>
      </c>
      <c r="BI79" s="287"/>
    </row>
    <row r="80" spans="53:61" s="245" customFormat="1" ht="15" x14ac:dyDescent="0.25">
      <c r="BA80" s="287" t="str">
        <f t="shared" ca="1" si="10"/>
        <v/>
      </c>
      <c r="BB80" s="324">
        <f t="shared" ca="1" si="14"/>
        <v>0</v>
      </c>
      <c r="BC80" s="324"/>
      <c r="BD80" s="324">
        <f t="shared" ca="1" si="11"/>
        <v>0</v>
      </c>
      <c r="BE80" s="324">
        <f t="shared" ca="1" si="15"/>
        <v>0</v>
      </c>
      <c r="BF80" s="413">
        <f t="shared" ca="1" si="9"/>
        <v>0</v>
      </c>
      <c r="BG80" s="278">
        <f t="shared" ca="1" si="12"/>
        <v>0</v>
      </c>
      <c r="BH80" s="287">
        <f t="shared" ca="1" si="13"/>
        <v>0</v>
      </c>
      <c r="BI80" s="287"/>
    </row>
    <row r="81" spans="53:61" s="245" customFormat="1" ht="15" x14ac:dyDescent="0.25">
      <c r="BA81" s="287" t="str">
        <f t="shared" ca="1" si="10"/>
        <v/>
      </c>
      <c r="BB81" s="324">
        <f t="shared" ca="1" si="14"/>
        <v>0</v>
      </c>
      <c r="BC81" s="324"/>
      <c r="BD81" s="324">
        <f t="shared" ca="1" si="11"/>
        <v>0</v>
      </c>
      <c r="BE81" s="324">
        <f t="shared" ca="1" si="15"/>
        <v>0</v>
      </c>
      <c r="BF81" s="413">
        <f t="shared" ca="1" si="9"/>
        <v>0</v>
      </c>
      <c r="BG81" s="278">
        <f t="shared" ca="1" si="12"/>
        <v>0</v>
      </c>
      <c r="BH81" s="287">
        <f t="shared" ca="1" si="13"/>
        <v>0</v>
      </c>
      <c r="BI81" s="287"/>
    </row>
    <row r="82" spans="53:61" s="245" customFormat="1" ht="15" x14ac:dyDescent="0.25">
      <c r="BA82" s="287" t="str">
        <f t="shared" ca="1" si="10"/>
        <v/>
      </c>
      <c r="BB82" s="324">
        <f t="shared" ca="1" si="14"/>
        <v>0</v>
      </c>
      <c r="BC82" s="324"/>
      <c r="BD82" s="324">
        <f t="shared" ca="1" si="11"/>
        <v>0</v>
      </c>
      <c r="BE82" s="324">
        <f t="shared" ca="1" si="15"/>
        <v>0</v>
      </c>
      <c r="BF82" s="413">
        <f t="shared" ca="1" si="9"/>
        <v>0</v>
      </c>
      <c r="BG82" s="278">
        <f t="shared" ca="1" si="12"/>
        <v>0</v>
      </c>
      <c r="BH82" s="287">
        <f t="shared" ca="1" si="13"/>
        <v>0</v>
      </c>
      <c r="BI82" s="287"/>
    </row>
    <row r="83" spans="53:61" s="245" customFormat="1" ht="15" x14ac:dyDescent="0.25">
      <c r="BA83" s="287" t="str">
        <f t="shared" ca="1" si="10"/>
        <v/>
      </c>
      <c r="BB83" s="324">
        <f t="shared" ca="1" si="14"/>
        <v>0</v>
      </c>
      <c r="BC83" s="324"/>
      <c r="BD83" s="324">
        <f t="shared" ca="1" si="11"/>
        <v>0</v>
      </c>
      <c r="BE83" s="324">
        <f t="shared" ca="1" si="15"/>
        <v>0</v>
      </c>
      <c r="BF83" s="413">
        <f t="shared" ca="1" si="9"/>
        <v>0</v>
      </c>
      <c r="BG83" s="278">
        <f t="shared" ca="1" si="12"/>
        <v>0</v>
      </c>
      <c r="BH83" s="287">
        <f t="shared" ca="1" si="13"/>
        <v>0</v>
      </c>
      <c r="BI83" s="287"/>
    </row>
    <row r="84" spans="53:61" s="245" customFormat="1" ht="15" x14ac:dyDescent="0.25">
      <c r="BA84" s="287" t="str">
        <f t="shared" ca="1" si="10"/>
        <v/>
      </c>
      <c r="BB84" s="324">
        <f t="shared" ca="1" si="14"/>
        <v>0</v>
      </c>
      <c r="BC84" s="324"/>
      <c r="BD84" s="324">
        <f t="shared" ca="1" si="11"/>
        <v>0</v>
      </c>
      <c r="BE84" s="324">
        <f t="shared" ca="1" si="15"/>
        <v>0</v>
      </c>
      <c r="BF84" s="413">
        <f t="shared" ca="1" si="9"/>
        <v>0</v>
      </c>
      <c r="BG84" s="278">
        <f t="shared" ca="1" si="12"/>
        <v>0</v>
      </c>
      <c r="BH84" s="287">
        <f t="shared" ca="1" si="13"/>
        <v>0</v>
      </c>
      <c r="BI84" s="287"/>
    </row>
    <row r="85" spans="53:61" s="245" customFormat="1" ht="15" x14ac:dyDescent="0.25">
      <c r="BA85" s="287" t="str">
        <f t="shared" ca="1" si="10"/>
        <v/>
      </c>
      <c r="BB85" s="324">
        <f t="shared" ca="1" si="14"/>
        <v>0</v>
      </c>
      <c r="BC85" s="324"/>
      <c r="BD85" s="324">
        <f t="shared" ca="1" si="11"/>
        <v>0</v>
      </c>
      <c r="BE85" s="324">
        <f t="shared" ca="1" si="15"/>
        <v>0</v>
      </c>
      <c r="BF85" s="413">
        <f t="shared" ca="1" si="9"/>
        <v>0</v>
      </c>
      <c r="BG85" s="278">
        <f t="shared" ca="1" si="12"/>
        <v>0</v>
      </c>
      <c r="BH85" s="287">
        <f t="shared" ca="1" si="13"/>
        <v>0</v>
      </c>
      <c r="BI85" s="287"/>
    </row>
    <row r="86" spans="53:61" s="245" customFormat="1" ht="15" x14ac:dyDescent="0.25">
      <c r="BA86" s="287" t="str">
        <f t="shared" ca="1" si="10"/>
        <v/>
      </c>
      <c r="BB86" s="324">
        <f t="shared" ca="1" si="14"/>
        <v>0</v>
      </c>
      <c r="BC86" s="324"/>
      <c r="BD86" s="324">
        <f t="shared" ca="1" si="11"/>
        <v>0</v>
      </c>
      <c r="BE86" s="324">
        <f t="shared" ca="1" si="15"/>
        <v>0</v>
      </c>
      <c r="BF86" s="413">
        <f t="shared" ca="1" si="9"/>
        <v>0</v>
      </c>
      <c r="BG86" s="278">
        <f t="shared" ca="1" si="12"/>
        <v>0</v>
      </c>
      <c r="BH86" s="287">
        <f t="shared" ca="1" si="13"/>
        <v>0</v>
      </c>
      <c r="BI86" s="287"/>
    </row>
    <row r="87" spans="53:61" s="245" customFormat="1" ht="15" x14ac:dyDescent="0.25">
      <c r="BA87" s="287" t="str">
        <f t="shared" ca="1" si="10"/>
        <v/>
      </c>
      <c r="BB87" s="324">
        <f t="shared" ca="1" si="14"/>
        <v>0</v>
      </c>
      <c r="BC87" s="324"/>
      <c r="BD87" s="324">
        <f t="shared" ca="1" si="11"/>
        <v>0</v>
      </c>
      <c r="BE87" s="324">
        <f t="shared" ca="1" si="15"/>
        <v>0</v>
      </c>
      <c r="BF87" s="413">
        <f t="shared" ca="1" si="9"/>
        <v>0</v>
      </c>
      <c r="BG87" s="278">
        <f t="shared" ca="1" si="12"/>
        <v>0</v>
      </c>
      <c r="BH87" s="287">
        <f t="shared" ca="1" si="13"/>
        <v>0</v>
      </c>
      <c r="BI87" s="287"/>
    </row>
    <row r="88" spans="53:61" s="245" customFormat="1" ht="15" x14ac:dyDescent="0.25">
      <c r="BA88" s="287" t="str">
        <f t="shared" ca="1" si="10"/>
        <v/>
      </c>
      <c r="BB88" s="324">
        <f t="shared" ca="1" si="14"/>
        <v>0</v>
      </c>
      <c r="BC88" s="324"/>
      <c r="BD88" s="324">
        <f t="shared" ca="1" si="11"/>
        <v>0</v>
      </c>
      <c r="BE88" s="324">
        <f t="shared" ca="1" si="15"/>
        <v>0</v>
      </c>
      <c r="BF88" s="413">
        <f t="shared" ca="1" si="9"/>
        <v>0</v>
      </c>
      <c r="BG88" s="278">
        <f t="shared" ca="1" si="12"/>
        <v>0</v>
      </c>
      <c r="BH88" s="287">
        <f t="shared" ca="1" si="13"/>
        <v>0</v>
      </c>
      <c r="BI88" s="287"/>
    </row>
    <row r="89" spans="53:61" s="245" customFormat="1" ht="15" x14ac:dyDescent="0.25">
      <c r="BA89" s="287" t="str">
        <f t="shared" ca="1" si="10"/>
        <v/>
      </c>
      <c r="BB89" s="324">
        <f t="shared" ca="1" si="14"/>
        <v>0</v>
      </c>
      <c r="BC89" s="324"/>
      <c r="BD89" s="324">
        <f t="shared" ca="1" si="11"/>
        <v>0</v>
      </c>
      <c r="BE89" s="324">
        <f t="shared" ca="1" si="15"/>
        <v>0</v>
      </c>
      <c r="BF89" s="413">
        <f t="shared" ca="1" si="9"/>
        <v>0</v>
      </c>
      <c r="BG89" s="278">
        <f t="shared" ca="1" si="12"/>
        <v>0</v>
      </c>
      <c r="BH89" s="287">
        <f t="shared" ca="1" si="13"/>
        <v>0</v>
      </c>
      <c r="BI89" s="287"/>
    </row>
    <row r="90" spans="53:61" s="245" customFormat="1" ht="15" x14ac:dyDescent="0.25">
      <c r="BA90" s="287" t="str">
        <f t="shared" ca="1" si="10"/>
        <v/>
      </c>
      <c r="BB90" s="324">
        <f t="shared" ca="1" si="14"/>
        <v>0</v>
      </c>
      <c r="BC90" s="324"/>
      <c r="BD90" s="324">
        <f t="shared" ca="1" si="11"/>
        <v>0</v>
      </c>
      <c r="BE90" s="324">
        <f t="shared" ca="1" si="15"/>
        <v>0</v>
      </c>
      <c r="BF90" s="413">
        <f t="shared" ca="1" si="9"/>
        <v>0</v>
      </c>
      <c r="BG90" s="278">
        <f t="shared" ca="1" si="12"/>
        <v>0</v>
      </c>
      <c r="BH90" s="287">
        <f t="shared" ca="1" si="13"/>
        <v>0</v>
      </c>
      <c r="BI90" s="287"/>
    </row>
    <row r="91" spans="53:61" s="245" customFormat="1" ht="15" x14ac:dyDescent="0.25">
      <c r="BA91" s="287" t="str">
        <f t="shared" ca="1" si="10"/>
        <v/>
      </c>
      <c r="BB91" s="324">
        <f t="shared" ca="1" si="14"/>
        <v>0</v>
      </c>
      <c r="BC91" s="324"/>
      <c r="BD91" s="324">
        <f t="shared" ca="1" si="11"/>
        <v>0</v>
      </c>
      <c r="BE91" s="324">
        <f t="shared" ca="1" si="15"/>
        <v>0</v>
      </c>
      <c r="BF91" s="413">
        <f t="shared" ca="1" si="9"/>
        <v>0</v>
      </c>
      <c r="BG91" s="278">
        <f t="shared" ca="1" si="12"/>
        <v>0</v>
      </c>
      <c r="BH91" s="287">
        <f t="shared" ca="1" si="13"/>
        <v>0</v>
      </c>
      <c r="BI91" s="287"/>
    </row>
    <row r="92" spans="53:61" s="245" customFormat="1" ht="15" x14ac:dyDescent="0.25">
      <c r="BA92" s="287" t="str">
        <f t="shared" ca="1" si="10"/>
        <v/>
      </c>
      <c r="BB92" s="324">
        <f t="shared" ca="1" si="14"/>
        <v>0</v>
      </c>
      <c r="BC92" s="324"/>
      <c r="BD92" s="324">
        <f t="shared" ca="1" si="11"/>
        <v>0</v>
      </c>
      <c r="BE92" s="324">
        <f t="shared" ca="1" si="15"/>
        <v>0</v>
      </c>
      <c r="BF92" s="413">
        <f t="shared" ca="1" si="9"/>
        <v>0</v>
      </c>
      <c r="BG92" s="278">
        <f t="shared" ca="1" si="12"/>
        <v>0</v>
      </c>
      <c r="BH92" s="287">
        <f t="shared" ca="1" si="13"/>
        <v>0</v>
      </c>
      <c r="BI92" s="287"/>
    </row>
    <row r="93" spans="53:61" s="245" customFormat="1" ht="15" x14ac:dyDescent="0.25">
      <c r="BA93" s="287" t="str">
        <f t="shared" ca="1" si="10"/>
        <v/>
      </c>
      <c r="BB93" s="324">
        <f t="shared" ca="1" si="14"/>
        <v>0</v>
      </c>
      <c r="BC93" s="324"/>
      <c r="BD93" s="324">
        <f t="shared" ca="1" si="11"/>
        <v>0</v>
      </c>
      <c r="BE93" s="324">
        <f t="shared" ca="1" si="15"/>
        <v>0</v>
      </c>
      <c r="BF93" s="413">
        <f t="shared" ca="1" si="9"/>
        <v>0</v>
      </c>
      <c r="BG93" s="278">
        <f t="shared" ca="1" si="12"/>
        <v>0</v>
      </c>
      <c r="BH93" s="287">
        <f t="shared" ca="1" si="13"/>
        <v>0</v>
      </c>
      <c r="BI93" s="287"/>
    </row>
    <row r="94" spans="53:61" s="245" customFormat="1" ht="15" x14ac:dyDescent="0.25">
      <c r="BA94" s="287" t="str">
        <f t="shared" ca="1" si="10"/>
        <v/>
      </c>
      <c r="BB94" s="324">
        <f t="shared" ca="1" si="14"/>
        <v>0</v>
      </c>
      <c r="BC94" s="324"/>
      <c r="BD94" s="324">
        <f t="shared" ca="1" si="11"/>
        <v>0</v>
      </c>
      <c r="BE94" s="324">
        <f t="shared" ca="1" si="15"/>
        <v>0</v>
      </c>
      <c r="BF94" s="413">
        <f t="shared" ca="1" si="9"/>
        <v>0</v>
      </c>
      <c r="BG94" s="278">
        <f t="shared" ca="1" si="12"/>
        <v>0</v>
      </c>
      <c r="BH94" s="287">
        <f t="shared" ca="1" si="13"/>
        <v>0</v>
      </c>
      <c r="BI94" s="287"/>
    </row>
    <row r="95" spans="53:61" s="245" customFormat="1" ht="15" x14ac:dyDescent="0.25">
      <c r="BA95" s="287" t="str">
        <f t="shared" ca="1" si="10"/>
        <v/>
      </c>
      <c r="BB95" s="324">
        <f t="shared" ca="1" si="14"/>
        <v>0</v>
      </c>
      <c r="BC95" s="324"/>
      <c r="BD95" s="324">
        <f t="shared" ca="1" si="11"/>
        <v>0</v>
      </c>
      <c r="BE95" s="324">
        <f t="shared" ca="1" si="15"/>
        <v>0</v>
      </c>
      <c r="BF95" s="413">
        <f t="shared" ca="1" si="9"/>
        <v>0</v>
      </c>
      <c r="BG95" s="278">
        <f t="shared" ca="1" si="12"/>
        <v>0</v>
      </c>
      <c r="BH95" s="287">
        <f t="shared" ca="1" si="13"/>
        <v>0</v>
      </c>
      <c r="BI95" s="287"/>
    </row>
    <row r="96" spans="53:61" s="245" customFormat="1" ht="15" x14ac:dyDescent="0.25">
      <c r="BA96" s="287" t="str">
        <f t="shared" ca="1" si="10"/>
        <v/>
      </c>
      <c r="BB96" s="324">
        <f t="shared" ca="1" si="14"/>
        <v>0</v>
      </c>
      <c r="BC96" s="324"/>
      <c r="BD96" s="324">
        <f t="shared" ca="1" si="11"/>
        <v>0</v>
      </c>
      <c r="BE96" s="324">
        <f t="shared" ca="1" si="15"/>
        <v>0</v>
      </c>
      <c r="BF96" s="413">
        <f t="shared" ca="1" si="9"/>
        <v>0</v>
      </c>
      <c r="BG96" s="278">
        <f t="shared" ca="1" si="12"/>
        <v>0</v>
      </c>
      <c r="BH96" s="287">
        <f t="shared" ca="1" si="13"/>
        <v>0</v>
      </c>
      <c r="BI96" s="287"/>
    </row>
    <row r="97" spans="53:61" s="245" customFormat="1" ht="15" x14ac:dyDescent="0.25">
      <c r="BA97" s="287" t="str">
        <f t="shared" ca="1" si="10"/>
        <v/>
      </c>
      <c r="BB97" s="324">
        <f t="shared" ca="1" si="14"/>
        <v>0</v>
      </c>
      <c r="BC97" s="324"/>
      <c r="BD97" s="324">
        <f t="shared" ca="1" si="11"/>
        <v>0</v>
      </c>
      <c r="BE97" s="324">
        <f t="shared" ca="1" si="15"/>
        <v>0</v>
      </c>
      <c r="BF97" s="413">
        <f t="shared" ca="1" si="9"/>
        <v>0</v>
      </c>
      <c r="BG97" s="278">
        <f t="shared" ca="1" si="12"/>
        <v>0</v>
      </c>
      <c r="BH97" s="287">
        <f t="shared" ca="1" si="13"/>
        <v>0</v>
      </c>
      <c r="BI97" s="287"/>
    </row>
    <row r="98" spans="53:61" s="245" customFormat="1" ht="15" x14ac:dyDescent="0.25">
      <c r="BA98" s="287" t="str">
        <f t="shared" ca="1" si="10"/>
        <v/>
      </c>
      <c r="BB98" s="324">
        <f t="shared" ca="1" si="14"/>
        <v>0</v>
      </c>
      <c r="BC98" s="324"/>
      <c r="BD98" s="324">
        <f t="shared" ca="1" si="11"/>
        <v>0</v>
      </c>
      <c r="BE98" s="324">
        <f t="shared" ca="1" si="15"/>
        <v>0</v>
      </c>
      <c r="BF98" s="413">
        <f t="shared" ca="1" si="9"/>
        <v>0</v>
      </c>
      <c r="BG98" s="278">
        <f t="shared" ca="1" si="12"/>
        <v>0</v>
      </c>
      <c r="BH98" s="287">
        <f t="shared" ca="1" si="13"/>
        <v>0</v>
      </c>
      <c r="BI98" s="287"/>
    </row>
    <row r="99" spans="53:61" s="245" customFormat="1" ht="15" x14ac:dyDescent="0.25">
      <c r="BA99" s="287" t="str">
        <f t="shared" ca="1" si="10"/>
        <v/>
      </c>
      <c r="BB99" s="324">
        <f t="shared" ca="1" si="14"/>
        <v>0</v>
      </c>
      <c r="BC99" s="324"/>
      <c r="BD99" s="324">
        <f t="shared" ca="1" si="11"/>
        <v>0</v>
      </c>
      <c r="BE99" s="324">
        <f t="shared" ca="1" si="15"/>
        <v>0</v>
      </c>
      <c r="BF99" s="413">
        <f t="shared" ca="1" si="9"/>
        <v>0</v>
      </c>
      <c r="BG99" s="278">
        <f t="shared" ca="1" si="12"/>
        <v>0</v>
      </c>
      <c r="BH99" s="287">
        <f t="shared" ca="1" si="13"/>
        <v>0</v>
      </c>
      <c r="BI99" s="287"/>
    </row>
    <row r="100" spans="53:61" s="245" customFormat="1" ht="15" x14ac:dyDescent="0.25">
      <c r="BA100" s="287" t="str">
        <f t="shared" ca="1" si="10"/>
        <v/>
      </c>
      <c r="BB100" s="324">
        <f t="shared" ca="1" si="14"/>
        <v>0</v>
      </c>
      <c r="BC100" s="324"/>
      <c r="BD100" s="324">
        <f t="shared" ca="1" si="11"/>
        <v>0</v>
      </c>
      <c r="BE100" s="324">
        <f t="shared" ca="1" si="15"/>
        <v>0</v>
      </c>
      <c r="BF100" s="413">
        <f t="shared" ca="1" si="9"/>
        <v>0</v>
      </c>
      <c r="BG100" s="278">
        <f t="shared" ca="1" si="12"/>
        <v>0</v>
      </c>
      <c r="BH100" s="287">
        <f t="shared" ca="1" si="13"/>
        <v>0</v>
      </c>
      <c r="BI100" s="287"/>
    </row>
    <row r="101" spans="53:61" s="245" customFormat="1" ht="15" x14ac:dyDescent="0.25">
      <c r="BA101" s="287" t="str">
        <f t="shared" ca="1" si="10"/>
        <v/>
      </c>
      <c r="BB101" s="324">
        <f t="shared" ca="1" si="14"/>
        <v>0</v>
      </c>
      <c r="BC101" s="324"/>
      <c r="BD101" s="324">
        <f t="shared" ca="1" si="11"/>
        <v>0</v>
      </c>
      <c r="BE101" s="324">
        <f t="shared" ca="1" si="15"/>
        <v>0</v>
      </c>
      <c r="BF101" s="413">
        <f t="shared" ca="1" si="9"/>
        <v>0</v>
      </c>
      <c r="BG101" s="278">
        <f t="shared" ca="1" si="12"/>
        <v>0</v>
      </c>
      <c r="BH101" s="287">
        <f t="shared" ca="1" si="13"/>
        <v>0</v>
      </c>
      <c r="BI101" s="287"/>
    </row>
    <row r="102" spans="53:61" s="245" customFormat="1" ht="15" x14ac:dyDescent="0.25">
      <c r="BA102" s="287" t="str">
        <f t="shared" ca="1" si="10"/>
        <v/>
      </c>
      <c r="BB102" s="324">
        <f t="shared" ca="1" si="14"/>
        <v>0</v>
      </c>
      <c r="BC102" s="324"/>
      <c r="BD102" s="324">
        <f t="shared" ca="1" si="11"/>
        <v>0</v>
      </c>
      <c r="BE102" s="324">
        <f t="shared" ca="1" si="15"/>
        <v>0</v>
      </c>
      <c r="BF102" s="413">
        <f t="shared" ca="1" si="9"/>
        <v>0</v>
      </c>
      <c r="BG102" s="278">
        <f t="shared" ca="1" si="12"/>
        <v>0</v>
      </c>
      <c r="BH102" s="287">
        <f t="shared" ca="1" si="13"/>
        <v>0</v>
      </c>
      <c r="BI102" s="287"/>
    </row>
    <row r="103" spans="53:61" s="245" customFormat="1" ht="15" x14ac:dyDescent="0.25">
      <c r="BA103" s="287" t="str">
        <f t="shared" ca="1" si="10"/>
        <v/>
      </c>
      <c r="BB103" s="324">
        <f t="shared" ca="1" si="14"/>
        <v>0</v>
      </c>
      <c r="BC103" s="324"/>
      <c r="BD103" s="324">
        <f t="shared" ca="1" si="11"/>
        <v>0</v>
      </c>
      <c r="BE103" s="324">
        <f t="shared" ca="1" si="15"/>
        <v>0</v>
      </c>
      <c r="BF103" s="413">
        <f t="shared" ca="1" si="9"/>
        <v>0</v>
      </c>
      <c r="BG103" s="278">
        <f ca="1">IF(ISNUMBER(BA103),LN(BF103+$J$39)-LN($J$39),0)</f>
        <v>0</v>
      </c>
      <c r="BH103" s="287">
        <f t="shared" ca="1" si="13"/>
        <v>0</v>
      </c>
      <c r="BI103" s="287"/>
    </row>
    <row r="104" spans="53:61" s="245" customFormat="1" ht="15" x14ac:dyDescent="0.25">
      <c r="BA104" s="287" t="str">
        <f t="shared" ca="1" si="10"/>
        <v/>
      </c>
      <c r="BB104" s="324">
        <f t="shared" ca="1" si="14"/>
        <v>0</v>
      </c>
      <c r="BC104" s="324"/>
      <c r="BD104" s="324">
        <f t="shared" ca="1" si="11"/>
        <v>0</v>
      </c>
      <c r="BE104" s="324">
        <f t="shared" ca="1" si="15"/>
        <v>0</v>
      </c>
      <c r="BF104" s="413">
        <f t="shared" ca="1" si="9"/>
        <v>0</v>
      </c>
      <c r="BG104" s="278">
        <f t="shared" ca="1" si="12"/>
        <v>0</v>
      </c>
      <c r="BH104" s="287">
        <f t="shared" ca="1" si="13"/>
        <v>0</v>
      </c>
      <c r="BI104" s="287"/>
    </row>
    <row r="105" spans="53:61" s="245" customFormat="1" ht="15" x14ac:dyDescent="0.25">
      <c r="BA105" s="287" t="str">
        <f t="shared" ca="1" si="10"/>
        <v/>
      </c>
      <c r="BB105" s="324">
        <f t="shared" ca="1" si="14"/>
        <v>0</v>
      </c>
      <c r="BC105" s="324"/>
      <c r="BD105" s="324">
        <f t="shared" ca="1" si="11"/>
        <v>0</v>
      </c>
      <c r="BE105" s="324">
        <f t="shared" ca="1" si="15"/>
        <v>0</v>
      </c>
      <c r="BF105" s="413">
        <f t="shared" ca="1" si="9"/>
        <v>0</v>
      </c>
      <c r="BG105" s="278">
        <f t="shared" ca="1" si="12"/>
        <v>0</v>
      </c>
      <c r="BH105" s="287">
        <f t="shared" ca="1" si="13"/>
        <v>0</v>
      </c>
      <c r="BI105" s="287"/>
    </row>
    <row r="106" spans="53:61" s="245" customFormat="1" ht="15" x14ac:dyDescent="0.25">
      <c r="BA106" s="287" t="str">
        <f t="shared" ca="1" si="10"/>
        <v/>
      </c>
      <c r="BB106" s="324">
        <f t="shared" ca="1" si="14"/>
        <v>0</v>
      </c>
      <c r="BC106" s="324"/>
      <c r="BD106" s="324">
        <f t="shared" ca="1" si="11"/>
        <v>0</v>
      </c>
      <c r="BE106" s="324">
        <f t="shared" ca="1" si="15"/>
        <v>0</v>
      </c>
      <c r="BF106" s="413">
        <f t="shared" ca="1" si="9"/>
        <v>0</v>
      </c>
      <c r="BG106" s="278">
        <f t="shared" ca="1" si="12"/>
        <v>0</v>
      </c>
      <c r="BH106" s="287">
        <f t="shared" ca="1" si="13"/>
        <v>0</v>
      </c>
      <c r="BI106" s="287"/>
    </row>
    <row r="107" spans="53:61" s="245" customFormat="1" ht="15" x14ac:dyDescent="0.25">
      <c r="BA107" s="287" t="str">
        <f t="shared" ca="1" si="10"/>
        <v/>
      </c>
      <c r="BB107" s="324">
        <f t="shared" ca="1" si="14"/>
        <v>0</v>
      </c>
      <c r="BC107" s="324"/>
      <c r="BD107" s="324">
        <f t="shared" ca="1" si="11"/>
        <v>0</v>
      </c>
      <c r="BE107" s="324">
        <f t="shared" ca="1" si="15"/>
        <v>0</v>
      </c>
      <c r="BF107" s="413">
        <f t="shared" ca="1" si="9"/>
        <v>0</v>
      </c>
      <c r="BG107" s="278">
        <f t="shared" ca="1" si="12"/>
        <v>0</v>
      </c>
      <c r="BH107" s="287">
        <f t="shared" ca="1" si="13"/>
        <v>0</v>
      </c>
      <c r="BI107" s="287"/>
    </row>
    <row r="108" spans="53:61" s="245" customFormat="1" ht="15" x14ac:dyDescent="0.25">
      <c r="BA108" s="287" t="str">
        <f t="shared" ca="1" si="10"/>
        <v/>
      </c>
      <c r="BB108" s="324">
        <f t="shared" ca="1" si="14"/>
        <v>0</v>
      </c>
      <c r="BC108" s="324"/>
      <c r="BD108" s="324">
        <f t="shared" ca="1" si="11"/>
        <v>0</v>
      </c>
      <c r="BE108" s="324">
        <f t="shared" ca="1" si="15"/>
        <v>0</v>
      </c>
      <c r="BF108" s="413">
        <f t="shared" ca="1" si="9"/>
        <v>0</v>
      </c>
      <c r="BG108" s="278">
        <f t="shared" ca="1" si="12"/>
        <v>0</v>
      </c>
      <c r="BH108" s="287">
        <f t="shared" ca="1" si="13"/>
        <v>0</v>
      </c>
      <c r="BI108" s="287"/>
    </row>
    <row r="109" spans="53:61" s="245" customFormat="1" ht="15" x14ac:dyDescent="0.25">
      <c r="BA109" s="287" t="str">
        <f t="shared" ca="1" si="10"/>
        <v/>
      </c>
      <c r="BB109" s="324">
        <f t="shared" ca="1" si="14"/>
        <v>0</v>
      </c>
      <c r="BC109" s="324"/>
      <c r="BD109" s="324">
        <f t="shared" ca="1" si="11"/>
        <v>0</v>
      </c>
      <c r="BE109" s="324">
        <f t="shared" ca="1" si="15"/>
        <v>0</v>
      </c>
      <c r="BF109" s="413">
        <f t="shared" ca="1" si="9"/>
        <v>0</v>
      </c>
      <c r="BG109" s="278">
        <f t="shared" ca="1" si="12"/>
        <v>0</v>
      </c>
      <c r="BH109" s="287">
        <f t="shared" ca="1" si="13"/>
        <v>0</v>
      </c>
      <c r="BI109" s="287"/>
    </row>
    <row r="110" spans="53:61" s="245" customFormat="1" ht="15" x14ac:dyDescent="0.25">
      <c r="BA110" s="287" t="str">
        <f t="shared" ca="1" si="10"/>
        <v/>
      </c>
      <c r="BB110" s="324">
        <f t="shared" ca="1" si="14"/>
        <v>0</v>
      </c>
      <c r="BC110" s="324"/>
      <c r="BD110" s="324">
        <f t="shared" ca="1" si="11"/>
        <v>0</v>
      </c>
      <c r="BE110" s="324">
        <f t="shared" ca="1" si="15"/>
        <v>0</v>
      </c>
      <c r="BF110" s="413">
        <f t="shared" ca="1" si="9"/>
        <v>0</v>
      </c>
      <c r="BG110" s="278">
        <f t="shared" ca="1" si="12"/>
        <v>0</v>
      </c>
      <c r="BH110" s="287">
        <f t="shared" ca="1" si="13"/>
        <v>0</v>
      </c>
      <c r="BI110" s="287"/>
    </row>
    <row r="111" spans="53:61" s="245" customFormat="1" ht="15" x14ac:dyDescent="0.25">
      <c r="BA111" s="287" t="str">
        <f t="shared" ca="1" si="10"/>
        <v/>
      </c>
      <c r="BB111" s="324">
        <f t="shared" ca="1" si="14"/>
        <v>0</v>
      </c>
      <c r="BC111" s="324"/>
      <c r="BD111" s="324">
        <f t="shared" ca="1" si="11"/>
        <v>0</v>
      </c>
      <c r="BE111" s="324">
        <f t="shared" ca="1" si="15"/>
        <v>0</v>
      </c>
      <c r="BF111" s="413">
        <f ca="1">IF(ISNUMBER(BA114),BC111+BD111,BC111+BD111+BE111*$D$16)</f>
        <v>0</v>
      </c>
      <c r="BG111" s="278">
        <f t="shared" ca="1" si="12"/>
        <v>0</v>
      </c>
      <c r="BH111" s="287">
        <f t="shared" ca="1" si="13"/>
        <v>0</v>
      </c>
      <c r="BI111" s="287"/>
    </row>
    <row r="112" spans="53:61" s="245" customFormat="1" ht="15" x14ac:dyDescent="0.25">
      <c r="BI112" s="287"/>
    </row>
    <row r="113" spans="33:61" s="245" customFormat="1" ht="15" x14ac:dyDescent="0.25">
      <c r="BI113" s="287"/>
    </row>
    <row r="114" spans="33:61" s="245" customFormat="1" ht="15" x14ac:dyDescent="0.25">
      <c r="BI114" s="287"/>
    </row>
    <row r="115" spans="33:61" s="245" customFormat="1" ht="15" x14ac:dyDescent="0.25">
      <c r="BI115" s="287"/>
    </row>
    <row r="116" spans="33:61" s="245" customFormat="1" ht="15" x14ac:dyDescent="0.25">
      <c r="BI116" s="287"/>
    </row>
    <row r="117" spans="33:61" s="245" customFormat="1" ht="15" x14ac:dyDescent="0.25">
      <c r="BI117" s="287"/>
    </row>
    <row r="118" spans="33:61" s="245" customFormat="1" ht="15" x14ac:dyDescent="0.25">
      <c r="BI118" s="287"/>
    </row>
    <row r="119" spans="33:61" s="245" customFormat="1" ht="15" x14ac:dyDescent="0.25">
      <c r="AG119" s="232"/>
      <c r="AH119" s="232"/>
      <c r="AI119" s="232"/>
      <c r="AJ119" s="232"/>
      <c r="AK119" s="232"/>
      <c r="AL119" s="232"/>
      <c r="AM119" s="232"/>
      <c r="AN119" s="232"/>
      <c r="AO119" s="232"/>
      <c r="AP119" s="232"/>
      <c r="AQ119" s="232"/>
      <c r="AR119" s="232"/>
      <c r="AS119" s="232"/>
      <c r="AT119" s="232"/>
      <c r="AU119" s="232"/>
      <c r="AV119" s="232"/>
      <c r="AW119" s="232"/>
      <c r="AX119" s="232"/>
      <c r="AY119" s="232"/>
      <c r="BI119" s="287"/>
    </row>
    <row r="120" spans="33:61" s="245" customFormat="1" ht="15" x14ac:dyDescent="0.25">
      <c r="AG120" s="232"/>
      <c r="AH120" s="232"/>
      <c r="AI120" s="232"/>
      <c r="AJ120" s="232"/>
      <c r="AK120" s="232"/>
      <c r="AL120" s="232"/>
      <c r="AM120" s="232"/>
      <c r="AN120" s="232"/>
      <c r="AO120" s="232"/>
      <c r="AP120" s="232"/>
      <c r="AQ120" s="232"/>
      <c r="AR120" s="232"/>
      <c r="AS120" s="232"/>
      <c r="AT120" s="232"/>
      <c r="AU120" s="232"/>
      <c r="AV120" s="232"/>
      <c r="AW120" s="232"/>
      <c r="AX120" s="232"/>
      <c r="AY120" s="232"/>
      <c r="BI120" s="287"/>
    </row>
    <row r="121" spans="33:61" s="232" customFormat="1" ht="15" x14ac:dyDescent="0.25">
      <c r="BI121" s="231"/>
    </row>
  </sheetData>
  <mergeCells count="152">
    <mergeCell ref="BM1:BN1"/>
    <mergeCell ref="AH7:AJ7"/>
    <mergeCell ref="AK7:AM7"/>
    <mergeCell ref="AN7:AY7"/>
    <mergeCell ref="AH8:AJ8"/>
    <mergeCell ref="AK8:AM8"/>
    <mergeCell ref="AH11:AJ11"/>
    <mergeCell ref="AI32:AJ32"/>
    <mergeCell ref="AK32:AL32"/>
    <mergeCell ref="AH20:AJ20"/>
    <mergeCell ref="AN20:AY20"/>
    <mergeCell ref="AN18:AY18"/>
    <mergeCell ref="AN19:AY19"/>
    <mergeCell ref="AK15:AM15"/>
    <mergeCell ref="AN15:AY15"/>
    <mergeCell ref="AH16:AJ16"/>
    <mergeCell ref="AK16:AM16"/>
    <mergeCell ref="AI21:AI26"/>
    <mergeCell ref="AJ21:AJ26"/>
    <mergeCell ref="AK21:AK26"/>
    <mergeCell ref="AL21:AL26"/>
    <mergeCell ref="AM21:AM26"/>
    <mergeCell ref="AH18:AJ18"/>
    <mergeCell ref="AK18:AM18"/>
    <mergeCell ref="AG28:AG38"/>
    <mergeCell ref="AH28:AH32"/>
    <mergeCell ref="AI28:AJ28"/>
    <mergeCell ref="AK28:AL28"/>
    <mergeCell ref="AI29:AJ29"/>
    <mergeCell ref="AK29:AL29"/>
    <mergeCell ref="AI30:AJ30"/>
    <mergeCell ref="AK30:AL30"/>
    <mergeCell ref="AI31:AJ31"/>
    <mergeCell ref="AK31:AL31"/>
    <mergeCell ref="AH38:AI38"/>
    <mergeCell ref="AK33:AL33"/>
    <mergeCell ref="AH35:AI35"/>
    <mergeCell ref="AH36:AI36"/>
    <mergeCell ref="AH37:AI37"/>
    <mergeCell ref="AH19:AJ19"/>
    <mergeCell ref="AK19:AM19"/>
    <mergeCell ref="AN16:AY16"/>
    <mergeCell ref="AH17:AJ17"/>
    <mergeCell ref="AK17:AM17"/>
    <mergeCell ref="AN17:AY17"/>
    <mergeCell ref="AN11:AY11"/>
    <mergeCell ref="AH14:AJ14"/>
    <mergeCell ref="AK14:AM14"/>
    <mergeCell ref="AN14:AY14"/>
    <mergeCell ref="AK11:AM11"/>
    <mergeCell ref="AH12:AJ13"/>
    <mergeCell ref="AK12:AM13"/>
    <mergeCell ref="AN12:AY13"/>
    <mergeCell ref="AK9:AM9"/>
    <mergeCell ref="AN8:AY8"/>
    <mergeCell ref="AN9:AY9"/>
    <mergeCell ref="AH10:AJ10"/>
    <mergeCell ref="AK10:AM10"/>
    <mergeCell ref="AN10:AY10"/>
    <mergeCell ref="AK4:AM4"/>
    <mergeCell ref="AN4:AY4"/>
    <mergeCell ref="AH5:AJ6"/>
    <mergeCell ref="AK5:AM6"/>
    <mergeCell ref="AN5:AY6"/>
    <mergeCell ref="R40:T40"/>
    <mergeCell ref="AG2:AI3"/>
    <mergeCell ref="AG4:AG14"/>
    <mergeCell ref="AH4:AJ4"/>
    <mergeCell ref="AH9:AJ9"/>
    <mergeCell ref="AG15:AG20"/>
    <mergeCell ref="AH15:AJ15"/>
    <mergeCell ref="F33:F36"/>
    <mergeCell ref="R35:V35"/>
    <mergeCell ref="T20:U20"/>
    <mergeCell ref="T21:U21"/>
    <mergeCell ref="Q23:Q27"/>
    <mergeCell ref="R23:S24"/>
    <mergeCell ref="U23:W24"/>
    <mergeCell ref="R18:R19"/>
    <mergeCell ref="S18:S19"/>
    <mergeCell ref="T18:U19"/>
    <mergeCell ref="V18:V19"/>
    <mergeCell ref="W18:W19"/>
    <mergeCell ref="T15:U15"/>
    <mergeCell ref="V15:W15"/>
    <mergeCell ref="T16:U16"/>
    <mergeCell ref="AG21:AG27"/>
    <mergeCell ref="AH21:AH26"/>
    <mergeCell ref="B38:B40"/>
    <mergeCell ref="D38:F38"/>
    <mergeCell ref="H38:I38"/>
    <mergeCell ref="J38:N38"/>
    <mergeCell ref="O38:P38"/>
    <mergeCell ref="D39:F39"/>
    <mergeCell ref="H39:I39"/>
    <mergeCell ref="J39:N39"/>
    <mergeCell ref="C19:C20"/>
    <mergeCell ref="D19:D20"/>
    <mergeCell ref="F23:F26"/>
    <mergeCell ref="B25:E28"/>
    <mergeCell ref="J18:J19"/>
    <mergeCell ref="C16:C18"/>
    <mergeCell ref="D16:D18"/>
    <mergeCell ref="F17:F19"/>
    <mergeCell ref="G17:G19"/>
    <mergeCell ref="L17:M17"/>
    <mergeCell ref="O39:P39"/>
    <mergeCell ref="D40:G40"/>
    <mergeCell ref="I18:I19"/>
    <mergeCell ref="B14:B20"/>
    <mergeCell ref="C14:C15"/>
    <mergeCell ref="D14:D15"/>
    <mergeCell ref="T17:U17"/>
    <mergeCell ref="B7:B11"/>
    <mergeCell ref="Q8:Q11"/>
    <mergeCell ref="T8:U8"/>
    <mergeCell ref="V8:W8"/>
    <mergeCell ref="C9:D9"/>
    <mergeCell ref="S2:T3"/>
    <mergeCell ref="T11:U11"/>
    <mergeCell ref="V11:W11"/>
    <mergeCell ref="Q14:Q15"/>
    <mergeCell ref="T14:U14"/>
    <mergeCell ref="V14:W14"/>
    <mergeCell ref="F15:F16"/>
    <mergeCell ref="G15:G16"/>
    <mergeCell ref="I15:I16"/>
    <mergeCell ref="J15:J16"/>
    <mergeCell ref="L12:L13"/>
    <mergeCell ref="M12:M13"/>
    <mergeCell ref="R12:R13"/>
    <mergeCell ref="S12:S13"/>
    <mergeCell ref="T12:U13"/>
    <mergeCell ref="V12:W13"/>
    <mergeCell ref="Z2:AB3"/>
    <mergeCell ref="B4:D5"/>
    <mergeCell ref="F4:G5"/>
    <mergeCell ref="T4:U4"/>
    <mergeCell ref="V4:W4"/>
    <mergeCell ref="T5:U5"/>
    <mergeCell ref="V5:W5"/>
    <mergeCell ref="Z9:AA9"/>
    <mergeCell ref="T10:U10"/>
    <mergeCell ref="V10:W10"/>
    <mergeCell ref="Z10:AA10"/>
    <mergeCell ref="C6:D6"/>
    <mergeCell ref="I6:J6"/>
    <mergeCell ref="L6:M6"/>
    <mergeCell ref="T6:U6"/>
    <mergeCell ref="V6:W6"/>
    <mergeCell ref="T9:U9"/>
    <mergeCell ref="V9:W9"/>
  </mergeCells>
  <phoneticPr fontId="10" type="noConversion"/>
  <dataValidations count="7">
    <dataValidation type="list" allowBlank="1" showInputMessage="1" sqref="K9">
      <formula1>$C$32:$G$32</formula1>
    </dataValidation>
    <dataValidation type="list" allowBlank="1" showInputMessage="1" sqref="K15">
      <formula1>$C$23:$G$23</formula1>
    </dataValidation>
    <dataValidation type="list" allowBlank="1" showInputMessage="1" sqref="K16">
      <formula1>$C$30:$G$30</formula1>
    </dataValidation>
    <dataValidation type="list" allowBlank="1" showInputMessage="1" showErrorMessage="1" sqref="AM20">
      <formula1>"N/A, 3"</formula1>
    </dataValidation>
    <dataValidation type="decimal" allowBlank="1" showInputMessage="1" showErrorMessage="1" sqref="AK9:AK10">
      <formula1>0</formula1>
      <formula2>3</formula2>
    </dataValidation>
    <dataValidation type="decimal" allowBlank="1" showInputMessage="1" showErrorMessage="1" sqref="AK11:AK12 AK14">
      <formula1>0</formula1>
      <formula2>1</formula2>
    </dataValidation>
    <dataValidation allowBlank="1" showInputMessage="1" sqref="AK19:AM19"/>
  </dataValidations>
  <hyperlinks>
    <hyperlink ref="H40" r:id="rId1" location="Grantstructure"/>
    <hyperlink ref="V40" r:id="rId2"/>
  </hyperlinks>
  <pageMargins left="0.75" right="0.75" top="1" bottom="1" header="0.5" footer="0.5"/>
  <pageSetup orientation="portrait" horizontalDpi="4294967292" verticalDpi="4294967292"/>
  <legacyDrawing r:id="rId3"/>
  <extLst>
    <ext xmlns:x14="http://schemas.microsoft.com/office/spreadsheetml/2009/9/main" uri="{CCE6A557-97BC-4b89-ADB6-D9C93CAAB3DF}">
      <x14:dataValidations xmlns:xm="http://schemas.microsoft.com/office/excel/2006/main" count="42">
        <x14:dataValidation type="list" allowBlank="1" showInputMessage="1">
          <x14:formula1>
            <xm:f>Parameters!$D$12:$H$12</xm:f>
          </x14:formula1>
          <xm:sqref>J18:K19</xm:sqref>
        </x14:dataValidation>
        <x14:dataValidation type="list" allowBlank="1" showInputMessage="1">
          <x14:formula1>
            <xm:f>Parameters!$D$8:$H$8</xm:f>
          </x14:formula1>
          <xm:sqref>G10</xm:sqref>
        </x14:dataValidation>
        <x14:dataValidation type="list" allowBlank="1" showInputMessage="1">
          <x14:formula1>
            <xm:f>Parameters!$D$7:$H$7</xm:f>
          </x14:formula1>
          <xm:sqref>G8</xm:sqref>
        </x14:dataValidation>
        <x14:dataValidation type="list" allowBlank="1" showInputMessage="1">
          <x14:formula1>
            <xm:f>Parameters!$D$31:$H$31</xm:f>
          </x14:formula1>
          <xm:sqref>G20</xm:sqref>
        </x14:dataValidation>
        <x14:dataValidation type="list" allowBlank="1" showInputMessage="1">
          <x14:formula1>
            <xm:f>Parameters!$D$4:$H$4</xm:f>
          </x14:formula1>
          <xm:sqref>D7</xm:sqref>
        </x14:dataValidation>
        <x14:dataValidation type="list" allowBlank="1" showInputMessage="1">
          <x14:formula1>
            <xm:f>Parameters!$D$15:$H$15</xm:f>
          </x14:formula1>
          <xm:sqref>J20:K20</xm:sqref>
        </x14:dataValidation>
        <x14:dataValidation type="list" allowBlank="1" showInputMessage="1">
          <x14:formula1>
            <xm:f>Parameters!$D$19:$H$19</xm:f>
          </x14:formula1>
          <xm:sqref>J17:K17</xm:sqref>
        </x14:dataValidation>
        <x14:dataValidation type="list" allowBlank="1" showInputMessage="1">
          <x14:formula1>
            <xm:f>Parameters!$D$16:$H$16</xm:f>
          </x14:formula1>
          <xm:sqref>J10</xm:sqref>
        </x14:dataValidation>
        <x14:dataValidation type="list" allowBlank="1" showInputMessage="1">
          <x14:formula1>
            <xm:f>Parameters!$E$21:$G$21</xm:f>
          </x14:formula1>
          <xm:sqref>K7</xm:sqref>
        </x14:dataValidation>
        <x14:dataValidation type="list" allowBlank="1" showInputMessage="1">
          <x14:formula1>
            <xm:f>Parameters!$D$21:$H$21</xm:f>
          </x14:formula1>
          <xm:sqref>J7</xm:sqref>
        </x14:dataValidation>
        <x14:dataValidation type="list" allowBlank="1" showInputMessage="1">
          <x14:formula1>
            <xm:f>Parameters!$E$14:$I$14</xm:f>
          </x14:formula1>
          <xm:sqref>K10</xm:sqref>
        </x14:dataValidation>
        <x14:dataValidation type="list" allowBlank="1" showInputMessage="1">
          <x14:formula1>
            <xm:f>Parameters!$D$14:$H$14</xm:f>
          </x14:formula1>
          <xm:sqref>J8</xm:sqref>
        </x14:dataValidation>
        <x14:dataValidation type="list" allowBlank="1" showInputMessage="1">
          <x14:formula1>
            <xm:f>Parameters!$D$36:$H$36</xm:f>
          </x14:formula1>
          <xm:sqref>M8</xm:sqref>
        </x14:dataValidation>
        <x14:dataValidation type="list" allowBlank="1" showInputMessage="1">
          <x14:formula1>
            <xm:f>Parameters!$D$37:$H$37</xm:f>
          </x14:formula1>
          <xm:sqref>M9</xm:sqref>
        </x14:dataValidation>
        <x14:dataValidation type="list" allowBlank="1" showInputMessage="1">
          <x14:formula1>
            <xm:f>Parameters!$D$39:$H$39</xm:f>
          </x14:formula1>
          <xm:sqref>M11</xm:sqref>
        </x14:dataValidation>
        <x14:dataValidation type="list" allowBlank="1" showInputMessage="1">
          <x14:formula1>
            <xm:f>Parameters!$D$40:$H$40</xm:f>
          </x14:formula1>
          <xm:sqref>M12</xm:sqref>
        </x14:dataValidation>
        <x14:dataValidation type="list" allowBlank="1" showInputMessage="1">
          <x14:formula1>
            <xm:f>Parameters!$D$41:$H$41</xm:f>
          </x14:formula1>
          <xm:sqref>M14</xm:sqref>
        </x14:dataValidation>
        <x14:dataValidation type="list" allowBlank="1" showInputMessage="1">
          <x14:formula1>
            <xm:f>Parameters!$D$42:$H$42</xm:f>
          </x14:formula1>
          <xm:sqref>M15</xm:sqref>
        </x14:dataValidation>
        <x14:dataValidation type="list" allowBlank="1" showInputMessage="1">
          <x14:formula1>
            <xm:f>Parameters!$D$22:$H$22</xm:f>
          </x14:formula1>
          <xm:sqref>J11</xm:sqref>
        </x14:dataValidation>
        <x14:dataValidation type="list" allowBlank="1" showInputMessage="1">
          <x14:formula1>
            <xm:f>Parameters!$D$20:$H$20</xm:f>
          </x14:formula1>
          <xm:sqref>J14</xm:sqref>
        </x14:dataValidation>
        <x14:dataValidation type="list" allowBlank="1" showInputMessage="1">
          <x14:formula1>
            <xm:f>Parameters!$D$26:$H$26</xm:f>
          </x14:formula1>
          <xm:sqref>G17:G19</xm:sqref>
        </x14:dataValidation>
        <x14:dataValidation type="list" allowBlank="1" showInputMessage="1">
          <x14:formula1>
            <xm:f>Parameters!$D$9:$H$9</xm:f>
          </x14:formula1>
          <xm:sqref>G15:G16</xm:sqref>
        </x14:dataValidation>
        <x14:dataValidation type="list" allowBlank="1" showInputMessage="1">
          <x14:formula1>
            <xm:f>Parameters!$D$56:$H$56</xm:f>
          </x14:formula1>
          <xm:sqref>D14</xm:sqref>
        </x14:dataValidation>
        <x14:dataValidation type="list" allowBlank="1" showInputMessage="1">
          <x14:formula1>
            <xm:f>Parameters!$D$54:$H$54</xm:f>
          </x14:formula1>
          <xm:sqref>D10</xm:sqref>
        </x14:dataValidation>
        <x14:dataValidation type="list" allowBlank="1" showInputMessage="1">
          <x14:formula1>
            <xm:f>Parameters!$D$32:$H$32</xm:f>
          </x14:formula1>
          <xm:sqref>G11</xm:sqref>
        </x14:dataValidation>
        <x14:dataValidation type="list" allowBlank="1" showInputMessage="1">
          <x14:formula1>
            <xm:f>Parameters!$D$49:$H$49</xm:f>
          </x14:formula1>
          <xm:sqref>M20</xm:sqref>
        </x14:dataValidation>
        <x14:dataValidation type="list" allowBlank="1" showInputMessage="1">
          <x14:formula1>
            <xm:f>Parameters!$D$50:$H$50</xm:f>
          </x14:formula1>
          <xm:sqref>M18</xm:sqref>
        </x14:dataValidation>
        <x14:dataValidation type="list" allowBlank="1" showInputMessage="1">
          <x14:formula1>
            <xm:f>Parameters!$D$29:$H$29</xm:f>
          </x14:formula1>
          <xm:sqref>G14</xm:sqref>
        </x14:dataValidation>
        <x14:dataValidation type="list" allowBlank="1" showInputMessage="1">
          <x14:formula1>
            <xm:f>Parameters!$D$23:$H$23</xm:f>
          </x14:formula1>
          <xm:sqref>J9</xm:sqref>
        </x14:dataValidation>
        <x14:dataValidation type="list" allowBlank="1" showInputMessage="1">
          <x14:formula1>
            <xm:f>Parameters!$D$57:$H$57</xm:f>
          </x14:formula1>
          <xm:sqref>D16:D18</xm:sqref>
        </x14:dataValidation>
        <x14:dataValidation type="list" allowBlank="1" showInputMessage="1">
          <x14:formula1>
            <xm:f>Parameters!$D$51:$H$51</xm:f>
          </x14:formula1>
          <xm:sqref>M19</xm:sqref>
        </x14:dataValidation>
        <x14:dataValidation type="list" allowBlank="1" showInputMessage="1">
          <x14:formula1>
            <xm:f>Parameters!$D$5:$G$5</xm:f>
          </x14:formula1>
          <xm:sqref>G7</xm:sqref>
        </x14:dataValidation>
        <x14:dataValidation type="list" allowBlank="1" showInputMessage="1">
          <x14:formula1>
            <xm:f>Parameters!$D$58:$H$58</xm:f>
          </x14:formula1>
          <xm:sqref>D19:D20</xm:sqref>
        </x14:dataValidation>
        <x14:dataValidation type="list" allowBlank="1" showInputMessage="1">
          <x14:formula1>
            <xm:f>Parameters!$D$55:$G$55</xm:f>
          </x14:formula1>
          <xm:sqref>D11</xm:sqref>
        </x14:dataValidation>
        <x14:dataValidation type="list" allowBlank="1" showInputMessage="1">
          <x14:formula1>
            <xm:f>Parameters!$D$6:$H$6</xm:f>
          </x14:formula1>
          <xm:sqref>G9</xm:sqref>
        </x14:dataValidation>
        <x14:dataValidation type="list" allowBlank="1" showInputMessage="1">
          <x14:formula1>
            <xm:f>Parameters!$D$13:$H$13</xm:f>
          </x14:formula1>
          <xm:sqref>J15:J16</xm:sqref>
        </x14:dataValidation>
        <x14:dataValidation type="list" allowBlank="1" showInputMessage="1">
          <x14:formula1>
            <xm:f>Parameters!$D$38:$H$38</xm:f>
          </x14:formula1>
          <xm:sqref>M10</xm:sqref>
        </x14:dataValidation>
        <x14:dataValidation type="list" allowBlank="1" showInputMessage="1">
          <x14:formula1>
            <xm:f>Parameters!$D$35:$H$35</xm:f>
          </x14:formula1>
          <xm:sqref>M7</xm:sqref>
        </x14:dataValidation>
        <x14:dataValidation type="list" allowBlank="1" showInputMessage="1" showErrorMessage="1">
          <x14:formula1>
            <xm:f>'NLS Parameters'!$D$4</xm:f>
          </x14:formula1>
          <xm:sqref>AK4:AM4</xm:sqref>
        </x14:dataValidation>
        <x14:dataValidation type="list" allowBlank="1" showInputMessage="1" showErrorMessage="1">
          <x14:formula1>
            <xm:f>'NLS Parameters'!$D$6:$E$6</xm:f>
          </x14:formula1>
          <xm:sqref>AK7:AM7</xm:sqref>
        </x14:dataValidation>
        <x14:dataValidation type="list" allowBlank="1" showInputMessage="1" showErrorMessage="1">
          <x14:formula1>
            <xm:f>'NLS Parameters'!$D$5</xm:f>
          </x14:formula1>
          <xm:sqref>AK5:AM6</xm:sqref>
        </x14:dataValidation>
        <x14:dataValidation type="list" allowBlank="1" showInputMessage="1" showErrorMessage="1">
          <x14:formula1>
            <xm:f>'NLS Parameters'!D23:G23</xm:f>
          </x14:formula1>
          <xm:sqref>AK8:AM8</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zoomScale="150" zoomScaleNormal="150" zoomScalePageLayoutView="150" workbookViewId="0"/>
  </sheetViews>
  <sheetFormatPr defaultColWidth="10.85546875" defaultRowHeight="15" x14ac:dyDescent="0.25"/>
  <cols>
    <col min="1" max="2" width="10.85546875" style="336"/>
    <col min="3" max="3" width="13.140625" style="336" customWidth="1"/>
    <col min="4" max="4" width="11.85546875" style="336" customWidth="1"/>
    <col min="5" max="5" width="11.42578125" style="336" customWidth="1"/>
    <col min="6" max="6" width="11.28515625" style="336" customWidth="1"/>
    <col min="7" max="16384" width="10.85546875" style="336"/>
  </cols>
  <sheetData>
    <row r="1" spans="1:16" s="56" customFormat="1" x14ac:dyDescent="0.25">
      <c r="A1" s="190"/>
      <c r="B1" s="64" t="s">
        <v>752</v>
      </c>
      <c r="D1" s="761" t="s">
        <v>457</v>
      </c>
      <c r="E1" s="761"/>
      <c r="F1" s="761"/>
      <c r="G1" s="761"/>
      <c r="H1" s="761"/>
      <c r="I1" s="1034" t="s">
        <v>458</v>
      </c>
      <c r="J1" s="1034"/>
      <c r="K1" s="1034"/>
      <c r="L1" s="1034"/>
      <c r="M1" s="1034"/>
      <c r="N1" s="196" t="s">
        <v>753</v>
      </c>
      <c r="O1" s="196" t="s">
        <v>754</v>
      </c>
    </row>
    <row r="2" spans="1:16" s="56" customFormat="1" x14ac:dyDescent="0.25">
      <c r="A2" s="190"/>
      <c r="B2" s="726"/>
      <c r="C2" s="72"/>
      <c r="D2" s="52">
        <v>1</v>
      </c>
      <c r="E2" s="52">
        <v>2</v>
      </c>
      <c r="F2" s="52">
        <v>3</v>
      </c>
      <c r="G2" s="52">
        <v>4</v>
      </c>
      <c r="H2" s="52">
        <v>5</v>
      </c>
      <c r="I2" s="52">
        <v>1</v>
      </c>
      <c r="J2" s="52">
        <v>2</v>
      </c>
      <c r="K2" s="52">
        <v>3</v>
      </c>
      <c r="L2" s="52">
        <v>4</v>
      </c>
      <c r="M2" s="52">
        <v>5</v>
      </c>
    </row>
    <row r="3" spans="1:16" s="56" customFormat="1" x14ac:dyDescent="0.25">
      <c r="A3" s="727" t="s">
        <v>755</v>
      </c>
      <c r="B3" s="726"/>
      <c r="C3" s="72"/>
      <c r="D3" s="52"/>
      <c r="E3" s="52"/>
      <c r="F3" s="52"/>
      <c r="G3" s="52"/>
      <c r="H3" s="52"/>
      <c r="I3" s="52"/>
      <c r="J3" s="52"/>
      <c r="K3" s="52"/>
      <c r="L3" s="52"/>
      <c r="M3" s="52"/>
    </row>
    <row r="4" spans="1:16" s="56" customFormat="1" x14ac:dyDescent="0.25">
      <c r="A4" s="190"/>
      <c r="B4" s="336" t="s">
        <v>756</v>
      </c>
      <c r="C4" s="336"/>
      <c r="D4" s="336" t="s">
        <v>723</v>
      </c>
      <c r="E4" s="336"/>
      <c r="F4" s="336"/>
      <c r="G4" s="336"/>
      <c r="H4" s="336"/>
      <c r="I4" s="56" t="s">
        <v>757</v>
      </c>
      <c r="J4" s="336"/>
      <c r="K4" s="336"/>
      <c r="L4" s="336"/>
      <c r="M4" s="336"/>
      <c r="N4" s="336" t="s">
        <v>758</v>
      </c>
      <c r="P4" s="336"/>
    </row>
    <row r="5" spans="1:16" s="56" customFormat="1" x14ac:dyDescent="0.25">
      <c r="A5" s="190"/>
      <c r="B5" s="336" t="s">
        <v>724</v>
      </c>
      <c r="C5" s="336"/>
      <c r="D5" s="336" t="s">
        <v>725</v>
      </c>
      <c r="F5" s="336"/>
      <c r="G5" s="336"/>
      <c r="H5" s="336"/>
      <c r="I5" s="336" t="s">
        <v>759</v>
      </c>
      <c r="J5" s="336"/>
      <c r="K5" s="336"/>
      <c r="L5" s="336"/>
      <c r="M5" s="336"/>
      <c r="N5" s="435" t="s">
        <v>760</v>
      </c>
      <c r="P5" s="336"/>
    </row>
    <row r="6" spans="1:16" s="56" customFormat="1" x14ac:dyDescent="0.25">
      <c r="A6" s="190"/>
      <c r="B6" s="336" t="s">
        <v>726</v>
      </c>
      <c r="C6" s="336"/>
      <c r="D6" s="336" t="s">
        <v>761</v>
      </c>
      <c r="E6" s="336" t="s">
        <v>727</v>
      </c>
      <c r="F6" s="336"/>
      <c r="G6" s="336"/>
      <c r="H6" s="336"/>
      <c r="I6" s="336" t="s">
        <v>759</v>
      </c>
      <c r="J6" s="336"/>
      <c r="K6" s="336"/>
      <c r="L6" s="336"/>
      <c r="M6" s="336"/>
      <c r="N6" s="435" t="s">
        <v>760</v>
      </c>
      <c r="P6" s="336"/>
    </row>
    <row r="7" spans="1:16" s="56" customFormat="1" x14ac:dyDescent="0.25">
      <c r="A7" s="190"/>
      <c r="B7" s="336"/>
      <c r="C7" s="336"/>
      <c r="D7" s="336"/>
      <c r="E7" s="336"/>
      <c r="F7" s="336"/>
      <c r="G7" s="336"/>
      <c r="H7" s="336"/>
      <c r="I7" s="56" t="s">
        <v>762</v>
      </c>
      <c r="J7" s="336"/>
      <c r="K7" s="336"/>
      <c r="L7" s="336"/>
      <c r="M7" s="336"/>
      <c r="N7" s="435"/>
      <c r="P7" s="336"/>
    </row>
    <row r="8" spans="1:16" s="56" customFormat="1" x14ac:dyDescent="0.25">
      <c r="A8" s="727" t="s">
        <v>12</v>
      </c>
      <c r="B8" s="726"/>
      <c r="C8" s="72"/>
      <c r="D8" s="52"/>
      <c r="E8" s="52"/>
      <c r="F8" s="52"/>
      <c r="G8" s="52"/>
      <c r="H8" s="52"/>
      <c r="I8" s="52"/>
      <c r="J8" s="52"/>
      <c r="K8" s="52"/>
      <c r="L8" s="52"/>
      <c r="M8" s="52"/>
    </row>
    <row r="9" spans="1:16" x14ac:dyDescent="0.25">
      <c r="A9" s="712"/>
      <c r="B9" s="336" t="s">
        <v>763</v>
      </c>
      <c r="D9" s="336">
        <v>4</v>
      </c>
      <c r="I9" s="336" t="s">
        <v>848</v>
      </c>
      <c r="N9" s="435" t="s">
        <v>760</v>
      </c>
    </row>
    <row r="10" spans="1:16" x14ac:dyDescent="0.25">
      <c r="A10" s="712"/>
      <c r="B10" s="336" t="s">
        <v>764</v>
      </c>
      <c r="D10" s="336">
        <v>1.2699999999999999E-2</v>
      </c>
      <c r="I10" s="336" t="s">
        <v>765</v>
      </c>
      <c r="N10" s="435" t="s">
        <v>766</v>
      </c>
    </row>
    <row r="11" spans="1:16" s="56" customFormat="1" x14ac:dyDescent="0.25">
      <c r="A11" s="190"/>
      <c r="B11" s="726"/>
      <c r="C11" s="72"/>
      <c r="D11" s="52"/>
      <c r="E11" s="52"/>
      <c r="F11" s="52"/>
      <c r="G11" s="52"/>
      <c r="H11" s="52"/>
      <c r="I11" s="52"/>
      <c r="J11" s="52"/>
      <c r="K11" s="52"/>
      <c r="L11" s="52"/>
      <c r="M11" s="52"/>
    </row>
    <row r="12" spans="1:16" x14ac:dyDescent="0.25">
      <c r="A12" s="712" t="s">
        <v>769</v>
      </c>
      <c r="E12" s="336" t="s">
        <v>866</v>
      </c>
    </row>
    <row r="13" spans="1:16" x14ac:dyDescent="0.25">
      <c r="B13" s="336" t="s">
        <v>767</v>
      </c>
      <c r="D13" s="732">
        <v>5547497</v>
      </c>
      <c r="E13" s="732">
        <v>11884932</v>
      </c>
      <c r="I13" s="336" t="s">
        <v>770</v>
      </c>
      <c r="N13" s="435" t="s">
        <v>760</v>
      </c>
    </row>
    <row r="14" spans="1:16" x14ac:dyDescent="0.25">
      <c r="A14" s="712"/>
      <c r="B14" s="336" t="s">
        <v>771</v>
      </c>
      <c r="D14" s="732">
        <v>3178266</v>
      </c>
      <c r="E14" s="732">
        <f>7700701</f>
        <v>7700701</v>
      </c>
      <c r="I14" s="336" t="s">
        <v>772</v>
      </c>
      <c r="N14" s="435" t="s">
        <v>760</v>
      </c>
    </row>
    <row r="15" spans="1:16" x14ac:dyDescent="0.25">
      <c r="A15" s="712"/>
      <c r="B15" s="336" t="s">
        <v>768</v>
      </c>
      <c r="D15" s="732">
        <v>294643</v>
      </c>
      <c r="E15" s="732">
        <v>553571</v>
      </c>
      <c r="I15" s="336" t="s">
        <v>773</v>
      </c>
      <c r="N15" s="435" t="s">
        <v>760</v>
      </c>
    </row>
    <row r="16" spans="1:16" x14ac:dyDescent="0.25">
      <c r="A16" s="712"/>
    </row>
    <row r="17" spans="1:15" x14ac:dyDescent="0.25">
      <c r="A17" s="712" t="s">
        <v>774</v>
      </c>
    </row>
    <row r="18" spans="1:15" x14ac:dyDescent="0.25">
      <c r="A18" s="712"/>
      <c r="B18" s="336" t="s">
        <v>775</v>
      </c>
      <c r="D18" s="336">
        <v>5077</v>
      </c>
      <c r="I18" s="336" t="s">
        <v>776</v>
      </c>
      <c r="N18" s="336" t="s">
        <v>758</v>
      </c>
    </row>
    <row r="19" spans="1:15" x14ac:dyDescent="0.25">
      <c r="A19" s="712"/>
      <c r="B19" s="336" t="s">
        <v>777</v>
      </c>
      <c r="D19" s="336">
        <v>5911.55</v>
      </c>
      <c r="I19" s="336" t="s">
        <v>849</v>
      </c>
      <c r="N19" s="336" t="s">
        <v>758</v>
      </c>
      <c r="O19" s="336" t="s">
        <v>798</v>
      </c>
    </row>
    <row r="20" spans="1:15" x14ac:dyDescent="0.25">
      <c r="A20" s="712"/>
    </row>
    <row r="21" spans="1:15" x14ac:dyDescent="0.25">
      <c r="A21" s="712"/>
      <c r="B21" s="336" t="s">
        <v>740</v>
      </c>
      <c r="D21" s="336">
        <v>5</v>
      </c>
      <c r="E21" s="336">
        <v>3</v>
      </c>
      <c r="I21" s="336" t="s">
        <v>850</v>
      </c>
      <c r="J21" s="336" t="s">
        <v>830</v>
      </c>
      <c r="N21" s="336" t="s">
        <v>758</v>
      </c>
    </row>
    <row r="22" spans="1:15" x14ac:dyDescent="0.25">
      <c r="A22" s="712"/>
    </row>
    <row r="23" spans="1:15" x14ac:dyDescent="0.25">
      <c r="A23" s="712"/>
      <c r="B23" s="336" t="s">
        <v>778</v>
      </c>
      <c r="D23" s="336" t="s">
        <v>779</v>
      </c>
      <c r="E23" s="336" t="str">
        <f>"Costs of average number of additional voluntary trips ($"&amp;TEXT(E24,"0.00")&amp;")"</f>
        <v>Costs of average number of additional voluntary trips ($4.57)</v>
      </c>
      <c r="F23" s="336" t="str">
        <f>"20% of total earned via migration (arbitrary) ($"&amp;TEXT(F24,"0.00")&amp;")"</f>
        <v>20% of total earned via migration (arbitrary) ($27.91)</v>
      </c>
    </row>
    <row r="24" spans="1:15" x14ac:dyDescent="0.25">
      <c r="A24" s="712"/>
      <c r="B24" s="336" t="s">
        <v>856</v>
      </c>
      <c r="D24" s="336">
        <v>0</v>
      </c>
      <c r="E24" s="711">
        <f>E25*E26*E27</f>
        <v>4.5718969163636372</v>
      </c>
      <c r="F24" s="711">
        <f>(D18+D19)*D10*0.2</f>
        <v>27.910916999999998</v>
      </c>
    </row>
    <row r="25" spans="1:15" x14ac:dyDescent="0.25">
      <c r="A25" s="712"/>
      <c r="C25" s="712"/>
      <c r="D25" s="712" t="s">
        <v>867</v>
      </c>
      <c r="E25" s="711">
        <v>0.56000000000000005</v>
      </c>
      <c r="F25" s="711"/>
      <c r="I25" s="336" t="s">
        <v>868</v>
      </c>
      <c r="N25" s="336" t="s">
        <v>758</v>
      </c>
    </row>
    <row r="26" spans="1:15" x14ac:dyDescent="0.25">
      <c r="A26" s="712"/>
      <c r="D26" s="712" t="s">
        <v>851</v>
      </c>
      <c r="E26" s="711">
        <f>D43</f>
        <v>20.512818181818183</v>
      </c>
      <c r="F26" s="711"/>
      <c r="I26" s="336" t="s">
        <v>852</v>
      </c>
    </row>
    <row r="27" spans="1:15" x14ac:dyDescent="0.25">
      <c r="A27" s="712"/>
      <c r="D27" s="712" t="s">
        <v>853</v>
      </c>
      <c r="E27" s="711">
        <v>0.39800000000000002</v>
      </c>
      <c r="F27" s="711"/>
      <c r="I27" s="336" t="s">
        <v>865</v>
      </c>
      <c r="N27" s="336" t="s">
        <v>758</v>
      </c>
    </row>
    <row r="28" spans="1:15" x14ac:dyDescent="0.25">
      <c r="A28" s="712" t="s">
        <v>780</v>
      </c>
      <c r="E28" s="711"/>
      <c r="F28" s="711"/>
    </row>
    <row r="29" spans="1:15" x14ac:dyDescent="0.25">
      <c r="A29" s="712"/>
      <c r="B29" s="336" t="s">
        <v>781</v>
      </c>
      <c r="E29" s="711"/>
      <c r="F29" s="711"/>
    </row>
    <row r="30" spans="1:15" x14ac:dyDescent="0.25">
      <c r="A30" s="712"/>
      <c r="C30" s="712" t="s">
        <v>782</v>
      </c>
      <c r="D30" s="336">
        <v>8298</v>
      </c>
      <c r="E30" s="711"/>
      <c r="F30" s="711"/>
      <c r="I30" s="336" t="s">
        <v>783</v>
      </c>
    </row>
    <row r="31" spans="1:15" x14ac:dyDescent="0.25">
      <c r="A31" s="712"/>
      <c r="C31" s="712" t="s">
        <v>784</v>
      </c>
      <c r="D31" s="713">
        <v>0.15</v>
      </c>
      <c r="E31" s="711"/>
      <c r="F31" s="711"/>
      <c r="I31" s="336" t="s">
        <v>869</v>
      </c>
      <c r="N31" s="435" t="s">
        <v>798</v>
      </c>
    </row>
    <row r="32" spans="1:15" x14ac:dyDescent="0.25">
      <c r="A32" s="712"/>
      <c r="C32" s="712" t="s">
        <v>785</v>
      </c>
      <c r="D32" s="714">
        <f>(D30*12)/(9+3*(1-D31))</f>
        <v>8621.2987012987014</v>
      </c>
      <c r="E32" s="711"/>
      <c r="F32" s="711"/>
      <c r="I32" s="336" t="s">
        <v>786</v>
      </c>
    </row>
    <row r="33" spans="1:15" x14ac:dyDescent="0.25">
      <c r="A33" s="712"/>
      <c r="C33" s="712" t="s">
        <v>787</v>
      </c>
      <c r="D33" s="713">
        <f>PRODUCT(C74:C79)</f>
        <v>1.5524391637641872</v>
      </c>
      <c r="E33" s="711"/>
      <c r="F33" s="711"/>
      <c r="I33" s="435" t="s">
        <v>857</v>
      </c>
    </row>
    <row r="34" spans="1:15" x14ac:dyDescent="0.25">
      <c r="A34" s="712"/>
      <c r="C34" s="712" t="s">
        <v>788</v>
      </c>
      <c r="D34" s="714">
        <f>(D32*D33)/D9</f>
        <v>3346.0104366013575</v>
      </c>
      <c r="E34" s="728"/>
      <c r="F34" s="711"/>
      <c r="I34" s="336" t="s">
        <v>789</v>
      </c>
    </row>
    <row r="35" spans="1:15" x14ac:dyDescent="0.25">
      <c r="A35" s="712"/>
      <c r="C35" s="712" t="s">
        <v>790</v>
      </c>
      <c r="D35" s="715">
        <f>D34*D10</f>
        <v>42.494332544837235</v>
      </c>
      <c r="E35" s="711"/>
      <c r="F35" s="711"/>
      <c r="I35" s="336" t="s">
        <v>858</v>
      </c>
    </row>
    <row r="36" spans="1:15" x14ac:dyDescent="0.25">
      <c r="A36" s="712"/>
      <c r="E36" s="711"/>
      <c r="F36" s="711"/>
    </row>
    <row r="37" spans="1:15" x14ac:dyDescent="0.25">
      <c r="A37" s="712"/>
      <c r="B37" s="336" t="s">
        <v>791</v>
      </c>
      <c r="E37" s="711"/>
      <c r="F37" s="711"/>
      <c r="I37" s="336" t="s">
        <v>792</v>
      </c>
    </row>
    <row r="38" spans="1:15" x14ac:dyDescent="0.25">
      <c r="A38" s="712"/>
      <c r="C38" s="712" t="s">
        <v>844</v>
      </c>
      <c r="D38" s="715">
        <f>E65</f>
        <v>23.186040749999997</v>
      </c>
      <c r="E38" s="711" t="s">
        <v>793</v>
      </c>
      <c r="F38" s="711">
        <f>D38/D10</f>
        <v>1825.6724999999999</v>
      </c>
      <c r="I38" s="336" t="s">
        <v>845</v>
      </c>
    </row>
    <row r="39" spans="1:15" x14ac:dyDescent="0.25">
      <c r="A39" s="712"/>
      <c r="C39" s="712" t="s">
        <v>846</v>
      </c>
      <c r="D39" s="715">
        <f>D38*C78*C79</f>
        <v>26.347225545854997</v>
      </c>
      <c r="E39" s="711"/>
      <c r="F39" s="711"/>
    </row>
    <row r="40" spans="1:15" x14ac:dyDescent="0.25">
      <c r="A40" s="712"/>
      <c r="C40" s="712" t="s">
        <v>794</v>
      </c>
      <c r="D40" s="713">
        <f>D31</f>
        <v>0.15</v>
      </c>
      <c r="E40" s="711"/>
      <c r="F40" s="711"/>
    </row>
    <row r="41" spans="1:15" x14ac:dyDescent="0.25">
      <c r="A41" s="712"/>
      <c r="C41" s="712" t="s">
        <v>790</v>
      </c>
      <c r="D41" s="722">
        <f>D39/(1-D40)</f>
        <v>30.996735936299999</v>
      </c>
      <c r="E41" s="711"/>
      <c r="F41" s="711"/>
    </row>
    <row r="42" spans="1:15" x14ac:dyDescent="0.25">
      <c r="A42" s="712"/>
      <c r="C42" s="712"/>
      <c r="D42" s="715"/>
      <c r="E42" s="711"/>
      <c r="F42" s="711"/>
    </row>
    <row r="43" spans="1:15" x14ac:dyDescent="0.25">
      <c r="A43" s="712"/>
      <c r="B43" s="336" t="s">
        <v>863</v>
      </c>
      <c r="C43" s="712"/>
      <c r="D43" s="715">
        <f>3384615/165000</f>
        <v>20.512818181818183</v>
      </c>
      <c r="E43" s="711"/>
      <c r="F43" s="711"/>
      <c r="I43" s="336" t="s">
        <v>870</v>
      </c>
      <c r="N43" s="435" t="s">
        <v>760</v>
      </c>
      <c r="O43" s="435" t="s">
        <v>798</v>
      </c>
    </row>
    <row r="44" spans="1:15" x14ac:dyDescent="0.25">
      <c r="A44" s="712"/>
      <c r="B44" s="336" t="s">
        <v>841</v>
      </c>
      <c r="C44" s="712"/>
      <c r="D44" s="715">
        <v>0.8</v>
      </c>
      <c r="E44" s="711"/>
      <c r="F44" s="711"/>
      <c r="I44" s="336" t="s">
        <v>795</v>
      </c>
      <c r="N44" s="435" t="s">
        <v>760</v>
      </c>
      <c r="O44" s="435" t="s">
        <v>798</v>
      </c>
    </row>
    <row r="45" spans="1:15" x14ac:dyDescent="0.25">
      <c r="A45" s="712"/>
      <c r="B45" s="336" t="s">
        <v>871</v>
      </c>
      <c r="C45" s="712"/>
      <c r="D45" s="715">
        <f>D43*D44/D9</f>
        <v>4.1025636363636364</v>
      </c>
      <c r="E45" s="711"/>
      <c r="F45" s="711"/>
      <c r="N45" s="435"/>
      <c r="O45" s="435"/>
    </row>
    <row r="46" spans="1:15" x14ac:dyDescent="0.25">
      <c r="A46" s="712"/>
      <c r="B46" s="336" t="s">
        <v>834</v>
      </c>
      <c r="C46" s="712"/>
      <c r="D46" s="715">
        <v>2</v>
      </c>
      <c r="E46" s="711"/>
      <c r="F46" s="711"/>
      <c r="N46" s="435"/>
      <c r="O46" s="435"/>
    </row>
    <row r="47" spans="1:15" x14ac:dyDescent="0.25">
      <c r="A47" s="712"/>
      <c r="B47" s="336" t="s">
        <v>842</v>
      </c>
      <c r="C47" s="712"/>
      <c r="D47" s="715" t="s">
        <v>831</v>
      </c>
      <c r="E47" s="711" t="s">
        <v>832</v>
      </c>
      <c r="F47" s="711" t="s">
        <v>195</v>
      </c>
    </row>
    <row r="48" spans="1:15" x14ac:dyDescent="0.25">
      <c r="A48" s="712"/>
      <c r="D48" s="715">
        <f>LN(D41-D45/D46)-LN(D41)</f>
        <v>-6.8468740155743113E-2</v>
      </c>
      <c r="E48" s="715">
        <f>LN(D35-D45/D46)-LN(D35)</f>
        <v>-4.9475885500498418E-2</v>
      </c>
      <c r="F48" s="715">
        <f>AVERAGE(D48:E48)</f>
        <v>-5.8972312828120765E-2</v>
      </c>
      <c r="G48" s="715"/>
    </row>
    <row r="49" spans="1:15" x14ac:dyDescent="0.25">
      <c r="A49" s="712"/>
      <c r="B49" s="56" t="s">
        <v>864</v>
      </c>
      <c r="D49" s="711">
        <v>0.39800000000000002</v>
      </c>
      <c r="E49" s="715">
        <f>D49</f>
        <v>0.39800000000000002</v>
      </c>
      <c r="F49" s="715">
        <f>E49</f>
        <v>0.39800000000000002</v>
      </c>
      <c r="I49" s="336" t="s">
        <v>873</v>
      </c>
      <c r="N49" s="435"/>
      <c r="O49" s="435"/>
    </row>
    <row r="50" spans="1:15" x14ac:dyDescent="0.25">
      <c r="A50" s="712"/>
      <c r="B50" s="56" t="s">
        <v>872</v>
      </c>
      <c r="D50" s="711">
        <f>D48*D49</f>
        <v>-2.7250558581985759E-2</v>
      </c>
      <c r="E50" s="711">
        <f>E48*E49</f>
        <v>-1.9691402429198371E-2</v>
      </c>
      <c r="F50" s="711">
        <f>F48*F49</f>
        <v>-2.3470980505592067E-2</v>
      </c>
      <c r="N50" s="435"/>
      <c r="O50" s="435"/>
    </row>
    <row r="51" spans="1:15" x14ac:dyDescent="0.25">
      <c r="A51" s="712"/>
      <c r="B51" s="336" t="s">
        <v>796</v>
      </c>
      <c r="D51" s="715"/>
      <c r="E51" s="715"/>
      <c r="F51" s="715"/>
      <c r="I51" s="336" t="s">
        <v>797</v>
      </c>
    </row>
    <row r="52" spans="1:15" x14ac:dyDescent="0.25">
      <c r="A52" s="712"/>
      <c r="D52" s="723">
        <f>D50*D46/12</f>
        <v>-4.5417597636642935E-3</v>
      </c>
      <c r="E52" s="723">
        <f>E50*D46/12</f>
        <v>-3.2819004048663951E-3</v>
      </c>
      <c r="F52" s="723">
        <f>F50*D46/12</f>
        <v>-3.9118300842653445E-3</v>
      </c>
      <c r="G52" s="715"/>
    </row>
    <row r="53" spans="1:15" x14ac:dyDescent="0.25">
      <c r="A53" s="712"/>
    </row>
    <row r="54" spans="1:15" x14ac:dyDescent="0.25">
      <c r="A54" s="712" t="s">
        <v>799</v>
      </c>
      <c r="I54" s="336" t="s">
        <v>833</v>
      </c>
    </row>
    <row r="55" spans="1:15" x14ac:dyDescent="0.25">
      <c r="A55" s="712"/>
      <c r="B55" s="336" t="s">
        <v>800</v>
      </c>
      <c r="D55" s="336">
        <v>1103.2</v>
      </c>
      <c r="I55" s="336" t="s">
        <v>859</v>
      </c>
    </row>
    <row r="56" spans="1:15" x14ac:dyDescent="0.25">
      <c r="A56" s="712"/>
      <c r="B56" s="336" t="s">
        <v>801</v>
      </c>
      <c r="D56" s="336">
        <v>951.8</v>
      </c>
      <c r="I56" s="336" t="s">
        <v>859</v>
      </c>
    </row>
    <row r="57" spans="1:15" x14ac:dyDescent="0.25">
      <c r="A57" s="712"/>
      <c r="B57" s="336" t="s">
        <v>802</v>
      </c>
      <c r="D57" s="336">
        <v>1145.0999999999999</v>
      </c>
      <c r="I57" s="336" t="s">
        <v>859</v>
      </c>
    </row>
    <row r="58" spans="1:15" x14ac:dyDescent="0.25">
      <c r="A58" s="712"/>
      <c r="B58" s="336" t="s">
        <v>803</v>
      </c>
      <c r="D58" s="336">
        <v>1780.2</v>
      </c>
      <c r="I58" s="336" t="s">
        <v>859</v>
      </c>
    </row>
    <row r="59" spans="1:15" x14ac:dyDescent="0.25">
      <c r="A59" s="712"/>
      <c r="B59" s="336" t="s">
        <v>804</v>
      </c>
      <c r="D59" s="336">
        <v>1698.3</v>
      </c>
    </row>
    <row r="60" spans="1:15" x14ac:dyDescent="0.25">
      <c r="A60" s="712"/>
    </row>
    <row r="61" spans="1:15" x14ac:dyDescent="0.25">
      <c r="A61" s="712" t="s">
        <v>805</v>
      </c>
      <c r="I61" s="336" t="s">
        <v>806</v>
      </c>
    </row>
    <row r="62" spans="1:15" x14ac:dyDescent="0.25">
      <c r="A62" s="56"/>
      <c r="B62" s="336" t="s">
        <v>807</v>
      </c>
      <c r="I62" s="336" t="s">
        <v>808</v>
      </c>
    </row>
    <row r="63" spans="1:15" x14ac:dyDescent="0.25">
      <c r="A63" s="56"/>
      <c r="C63" s="336" t="str">
        <f>B59</f>
        <v>2013 mean consumption in control group (takas/person/month)</v>
      </c>
      <c r="E63" s="715">
        <f>D59</f>
        <v>1698.3</v>
      </c>
    </row>
    <row r="64" spans="1:15" x14ac:dyDescent="0.25">
      <c r="A64" s="56"/>
      <c r="C64" s="336" t="s">
        <v>809</v>
      </c>
      <c r="E64" s="715">
        <f>E63*C77</f>
        <v>1825.6724999999999</v>
      </c>
    </row>
    <row r="65" spans="1:9" x14ac:dyDescent="0.25">
      <c r="A65" s="56"/>
      <c r="C65" s="336" t="s">
        <v>810</v>
      </c>
      <c r="E65" s="715">
        <f>E64*D10</f>
        <v>23.186040749999997</v>
      </c>
    </row>
    <row r="66" spans="1:9" x14ac:dyDescent="0.25">
      <c r="A66" s="56"/>
      <c r="B66" s="336" t="s">
        <v>811</v>
      </c>
      <c r="D66" s="715"/>
    </row>
    <row r="67" spans="1:9" x14ac:dyDescent="0.25">
      <c r="A67" s="56"/>
      <c r="C67" s="336" t="s">
        <v>812</v>
      </c>
      <c r="E67" s="715">
        <v>1196.01</v>
      </c>
      <c r="I67" s="336" t="s">
        <v>860</v>
      </c>
    </row>
    <row r="68" spans="1:9" x14ac:dyDescent="0.25">
      <c r="A68" s="56"/>
      <c r="C68" s="336" t="s">
        <v>809</v>
      </c>
      <c r="E68" s="715">
        <f>E67*PRODUCT(C73:C77)</f>
        <v>1722.1925951064825</v>
      </c>
    </row>
    <row r="69" spans="1:9" x14ac:dyDescent="0.25">
      <c r="A69" s="56"/>
      <c r="C69" s="336" t="s">
        <v>810</v>
      </c>
      <c r="E69" s="715">
        <f>E68*D10</f>
        <v>21.871845957852326</v>
      </c>
    </row>
    <row r="70" spans="1:9" x14ac:dyDescent="0.25">
      <c r="A70" s="712"/>
    </row>
    <row r="71" spans="1:9" x14ac:dyDescent="0.25">
      <c r="A71" s="712" t="s">
        <v>813</v>
      </c>
      <c r="I71" s="435" t="s">
        <v>857</v>
      </c>
    </row>
    <row r="72" spans="1:9" x14ac:dyDescent="0.25">
      <c r="A72" s="712"/>
      <c r="B72" s="336">
        <v>2008</v>
      </c>
      <c r="C72" s="336">
        <v>1.089</v>
      </c>
      <c r="D72" s="723"/>
    </row>
    <row r="73" spans="1:9" x14ac:dyDescent="0.25">
      <c r="B73" s="336">
        <v>2009</v>
      </c>
      <c r="C73" s="336">
        <v>1.054</v>
      </c>
      <c r="D73" s="723"/>
    </row>
    <row r="74" spans="1:9" x14ac:dyDescent="0.25">
      <c r="B74" s="336">
        <v>2010</v>
      </c>
      <c r="C74" s="336">
        <v>1.081</v>
      </c>
      <c r="D74" s="723"/>
    </row>
    <row r="75" spans="1:9" x14ac:dyDescent="0.25">
      <c r="B75" s="336">
        <v>2011</v>
      </c>
      <c r="C75" s="336">
        <v>1.107</v>
      </c>
      <c r="D75" s="723"/>
    </row>
    <row r="76" spans="1:9" x14ac:dyDescent="0.25">
      <c r="B76" s="336">
        <v>2012</v>
      </c>
      <c r="C76" s="336">
        <v>1.0620000000000001</v>
      </c>
      <c r="D76" s="723"/>
    </row>
    <row r="77" spans="1:9" x14ac:dyDescent="0.25">
      <c r="B77" s="336">
        <v>2013</v>
      </c>
      <c r="C77" s="336">
        <v>1.075</v>
      </c>
      <c r="D77" s="723"/>
    </row>
    <row r="78" spans="1:9" x14ac:dyDescent="0.25">
      <c r="B78" s="336">
        <v>2014</v>
      </c>
      <c r="C78" s="336">
        <v>1.07</v>
      </c>
      <c r="D78" s="723"/>
    </row>
    <row r="79" spans="1:9" x14ac:dyDescent="0.25">
      <c r="B79" s="336">
        <v>2015</v>
      </c>
      <c r="C79" s="336">
        <v>1.0620000000000001</v>
      </c>
      <c r="D79" s="723"/>
    </row>
    <row r="80" spans="1:9" x14ac:dyDescent="0.25">
      <c r="B80" s="336">
        <v>2016</v>
      </c>
      <c r="D80" s="723"/>
    </row>
    <row r="82" spans="1:9" x14ac:dyDescent="0.25">
      <c r="A82" s="712" t="s">
        <v>814</v>
      </c>
    </row>
    <row r="83" spans="1:9" x14ac:dyDescent="0.25">
      <c r="B83" s="336" t="s">
        <v>815</v>
      </c>
    </row>
    <row r="84" spans="1:9" x14ac:dyDescent="0.25">
      <c r="C84" s="336" t="s">
        <v>816</v>
      </c>
      <c r="D84" s="336">
        <v>66.5</v>
      </c>
      <c r="I84" s="336" t="s">
        <v>833</v>
      </c>
    </row>
    <row r="85" spans="1:9" x14ac:dyDescent="0.25">
      <c r="C85" s="336" t="s">
        <v>817</v>
      </c>
      <c r="D85" s="336">
        <v>951.8</v>
      </c>
      <c r="I85" s="336" t="s">
        <v>833</v>
      </c>
    </row>
    <row r="86" spans="1:9" x14ac:dyDescent="0.25">
      <c r="C86" s="712" t="s">
        <v>818</v>
      </c>
      <c r="D86" s="724">
        <f>(D84+D85)/D85</f>
        <v>1.0698676192477412</v>
      </c>
      <c r="I86" s="336" t="s">
        <v>838</v>
      </c>
    </row>
    <row r="87" spans="1:9" x14ac:dyDescent="0.25">
      <c r="C87" s="336" t="s">
        <v>819</v>
      </c>
      <c r="D87" s="715">
        <f>LN(D84+D85)-LN(D85)</f>
        <v>6.7534920490609274E-2</v>
      </c>
    </row>
    <row r="88" spans="1:9" x14ac:dyDescent="0.25">
      <c r="B88" s="336" t="s">
        <v>820</v>
      </c>
    </row>
    <row r="89" spans="1:9" x14ac:dyDescent="0.25">
      <c r="C89" s="336" t="s">
        <v>816</v>
      </c>
      <c r="D89" s="336">
        <v>85</v>
      </c>
      <c r="E89" s="336" t="s">
        <v>821</v>
      </c>
      <c r="I89" s="725" t="s">
        <v>862</v>
      </c>
    </row>
    <row r="90" spans="1:9" x14ac:dyDescent="0.25">
      <c r="C90" s="336" t="s">
        <v>817</v>
      </c>
      <c r="D90" s="336">
        <v>1780.2</v>
      </c>
      <c r="I90" s="725" t="s">
        <v>833</v>
      </c>
    </row>
    <row r="91" spans="1:9" x14ac:dyDescent="0.25">
      <c r="C91" s="712" t="s">
        <v>818</v>
      </c>
      <c r="D91" s="724">
        <f>(D89+D90)/D90</f>
        <v>1.0477474441074037</v>
      </c>
      <c r="I91" s="336" t="s">
        <v>838</v>
      </c>
    </row>
    <row r="92" spans="1:9" x14ac:dyDescent="0.25">
      <c r="C92" s="336" t="s">
        <v>819</v>
      </c>
      <c r="D92" s="715">
        <f>LN(D89+D90)-LN(D90)</f>
        <v>4.6642568409335006E-2</v>
      </c>
    </row>
    <row r="93" spans="1:9" x14ac:dyDescent="0.25">
      <c r="B93" s="336" t="s">
        <v>822</v>
      </c>
    </row>
    <row r="94" spans="1:9" x14ac:dyDescent="0.25">
      <c r="D94" s="152">
        <f>D92/D87</f>
        <v>0.69064371543638159</v>
      </c>
    </row>
  </sheetData>
  <mergeCells count="2">
    <mergeCell ref="D1:H1"/>
    <mergeCell ref="I1:M1"/>
  </mergeCells>
  <hyperlinks>
    <hyperlink ref="N5" r:id="rId1"/>
    <hyperlink ref="N10" r:id="rId2"/>
    <hyperlink ref="N6" r:id="rId3"/>
    <hyperlink ref="N9" r:id="rId4"/>
    <hyperlink ref="N13" r:id="rId5"/>
    <hyperlink ref="N14" r:id="rId6"/>
    <hyperlink ref="N15" r:id="rId7"/>
    <hyperlink ref="O43" r:id="rId8"/>
    <hyperlink ref="N43" r:id="rId9"/>
    <hyperlink ref="O44" r:id="rId10"/>
    <hyperlink ref="N44" r:id="rId11"/>
    <hyperlink ref="N31" r:id="rId12"/>
    <hyperlink ref="I33" r:id="rId13"/>
    <hyperlink ref="I71" r:id="rId14"/>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Notes</vt:lpstr>
      <vt:lpstr>Summary</vt:lpstr>
      <vt:lpstr>Parameters</vt:lpstr>
      <vt:lpstr>Sources</vt:lpstr>
      <vt:lpstr>Bednets</vt:lpstr>
      <vt:lpstr>Bednets-IR</vt:lpstr>
      <vt:lpstr>Intensity of worms</vt:lpstr>
      <vt:lpstr>YLL per death</vt:lpstr>
      <vt:lpstr>GW medians</vt:lpstr>
      <vt:lpstr>Elie</vt:lpstr>
      <vt:lpstr>Natalie</vt:lpstr>
      <vt:lpstr>Josh</vt:lpstr>
      <vt:lpstr>Tim</vt:lpstr>
      <vt:lpstr>Rebecca</vt:lpstr>
      <vt:lpstr>Andrew</vt:lpstr>
      <vt:lpstr>Emma</vt:lpstr>
      <vt:lpstr>Leon</vt:lpstr>
      <vt:lpstr>Sophie</vt:lpstr>
      <vt:lpstr>Sarah</vt:lpstr>
      <vt:lpstr>Model</vt:lpstr>
      <vt:lpstr>2015 Model</vt:lpstr>
      <vt:lpstr>2014 model</vt:lpstr>
      <vt:lpstr>NLS CEA</vt:lpstr>
      <vt:lpstr>NLS Parameters</vt:lpstr>
      <vt:lpstr>B</vt:lpstr>
      <vt:lpstr>Const</vt:lpstr>
      <vt:lpstr>discount</vt:lpstr>
      <vt:lpstr>K</vt:lpstr>
      <vt:lpstr>Sources!sources1033</vt:lpstr>
      <vt:lpstr>Sources!sources1145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2017-02-03T08:38:29Z</dcterms:created>
  <dcterms:modified xsi:type="dcterms:W3CDTF">2017-02-03T15:24:48Z</dcterms:modified>
</cp:coreProperties>
</file>