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715" windowHeight="9045" tabRatio="793"/>
  </bookViews>
  <sheets>
    <sheet name="GW budget - 2018 update" sheetId="13" r:id="rId1"/>
    <sheet name="March 10 budget" sheetId="4" state="hidden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3" l="1"/>
  <c r="B35" i="13"/>
  <c r="B28" i="13"/>
  <c r="B45" i="13"/>
  <c r="B37" i="13"/>
  <c r="B41" i="13"/>
  <c r="B42" i="13"/>
  <c r="B7" i="13"/>
  <c r="B8" i="13"/>
  <c r="B16" i="13"/>
  <c r="C5" i="4"/>
  <c r="F5" i="4"/>
  <c r="F9" i="4"/>
  <c r="G5" i="4"/>
  <c r="J5" i="4"/>
  <c r="A6" i="4"/>
  <c r="A7" i="4"/>
  <c r="A8" i="4"/>
  <c r="C6" i="4"/>
  <c r="F6" i="4"/>
  <c r="G6" i="4"/>
  <c r="J6" i="4"/>
  <c r="C7" i="4"/>
  <c r="F7" i="4"/>
  <c r="G7" i="4"/>
  <c r="J7" i="4"/>
  <c r="F8" i="4"/>
  <c r="J8" i="4"/>
  <c r="C11" i="4"/>
  <c r="F11" i="4"/>
  <c r="F14" i="4"/>
  <c r="G11" i="4"/>
  <c r="J11" i="4"/>
  <c r="A12" i="4"/>
  <c r="A13" i="4"/>
  <c r="C12" i="4"/>
  <c r="D12" i="4"/>
  <c r="F12" i="4"/>
  <c r="G12" i="4"/>
  <c r="H12" i="4"/>
  <c r="J12" i="4"/>
  <c r="C13" i="4"/>
  <c r="F13" i="4"/>
  <c r="G13" i="4"/>
  <c r="J13" i="4"/>
  <c r="C16" i="4"/>
  <c r="G16" i="4"/>
  <c r="J16" i="4"/>
  <c r="F16" i="4"/>
  <c r="M16" i="4"/>
  <c r="A17" i="4"/>
  <c r="F17" i="4"/>
  <c r="L17" i="4"/>
  <c r="J17" i="4"/>
  <c r="J18" i="4"/>
  <c r="J3" i="4"/>
  <c r="L14" i="4"/>
  <c r="F18" i="4"/>
  <c r="B18" i="13"/>
  <c r="B21" i="13"/>
  <c r="B44" i="13"/>
  <c r="B46" i="13"/>
  <c r="D37" i="13"/>
  <c r="D8" i="13"/>
  <c r="D39" i="13"/>
  <c r="D20" i="13"/>
  <c r="D16" i="13"/>
  <c r="D35" i="13"/>
  <c r="D44" i="13"/>
  <c r="D28" i="13"/>
  <c r="D18" i="13"/>
  <c r="D45" i="13"/>
</calcChain>
</file>

<file path=xl/sharedStrings.xml><?xml version="1.0" encoding="utf-8"?>
<sst xmlns="http://schemas.openxmlformats.org/spreadsheetml/2006/main" count="95" uniqueCount="81">
  <si>
    <t>Activities</t>
  </si>
  <si>
    <t>Product</t>
  </si>
  <si>
    <t>Phase I</t>
  </si>
  <si>
    <t>Tanzania activities subtotal</t>
  </si>
  <si>
    <r>
      <t xml:space="preserve">Would target demand generation and driving affordability of private sector amox DT prices. 
</t>
    </r>
    <r>
      <rPr>
        <sz val="11"/>
        <color rgb="FFFF0000"/>
        <rFont val="Calibri"/>
        <family val="2"/>
        <scheme val="minor"/>
      </rPr>
      <t>Johns Hopkins' Center for Communication Programs has run multiple BCC media advocacy campaigns, has partnered with many TZ NGOs and is seen as a leader in TZ. They cited $1M is a very well-funded budget for a multi-channeled campaign, which includes development (e.g. often involving an ad agency on creative concepts, concept testing, developing executions, pre-testing, lots of review meetings with Ministry, and plenty of revisions) and implementation (e.g. media buy, printing, distribution, training of community change agents, etc).  
12% overhead applied</t>
    </r>
  </si>
  <si>
    <t>Radio advocacy and behaviour change (incl awareness on recommended retail prices)</t>
  </si>
  <si>
    <r>
      <t xml:space="preserve">~$1M / year needed for product; Low: 2 full years + 75%,50%,25% tail for low; High: 3 full years + 50%,25% tail for high
</t>
    </r>
    <r>
      <rPr>
        <sz val="11"/>
        <color rgb="FFFF0000"/>
        <rFont val="Calibri"/>
        <family val="2"/>
        <scheme val="minor"/>
      </rPr>
      <t>5% overhead applied</t>
    </r>
  </si>
  <si>
    <t>Product funding</t>
  </si>
  <si>
    <t>Overall</t>
  </si>
  <si>
    <t>Subtotal private sector</t>
  </si>
  <si>
    <t>Printing and distribution of materials for private HFs and higher ed institutions</t>
  </si>
  <si>
    <t xml:space="preserve">Materials - Ped STGs </t>
  </si>
  <si>
    <t xml:space="preserve">Based on MSH budgets, SS = ~$11.3-14.5k/12 districts, conducted 3x for 1 yr ($0.95-1.2k/district x 3). Add 10% for incl. of pharmacies (~1-1.3k/dist). Low - $1.1k x 159 districts total x 3 vists over 1 yr; High - $1.3kx170 districts total x 2 visits in 1 yr </t>
  </si>
  <si>
    <t xml:space="preserve">Suportive Supervision </t>
  </si>
  <si>
    <t>MSH training for District Health Teams, ADDOs and Suppliers for 12 districts cost $45k (~$3.75k/district). Increase by 10% for inclusion of pharmacists (1:9 ratio of Pharm:ADDOs). Tz has ~170 districts. MSH trained 12 districts, (158 districts remain). Low - $3.75k x 158 districts over 2 yrs; High - $4.5k x 170 districts</t>
  </si>
  <si>
    <t xml:space="preserve">Group Training for ADDOs &amp; Pharmacists </t>
  </si>
  <si>
    <t>Private sector</t>
  </si>
  <si>
    <t>Subtotal public sector</t>
  </si>
  <si>
    <t xml:space="preserve">Approx 1.5m Tx/yr; $0.05/colored job aid insert; High - 2m copies </t>
  </si>
  <si>
    <t xml:space="preserve">Job Aids </t>
  </si>
  <si>
    <t xml:space="preserve">~8000 HFs, getting 1 replenishment copy per year </t>
  </si>
  <si>
    <t xml:space="preserve">Ped STGs - training replenishment </t>
  </si>
  <si>
    <t>L-H: National printing &amp; distrib required; 6000 HFs get 2-3 copies (12-18k); 200 HFs get 7-10 copies ($1.4-2k); 2-5k for reserve@central level; add 6% for distribution</t>
  </si>
  <si>
    <t>Ped STGs (revised) - national printing &amp; distribution</t>
  </si>
  <si>
    <t>UNICEF printed 15,000 copies in 12/15; 2000 additional req'd/yr for training (assuming half the districts across Tz train 25 ppl per year)</t>
  </si>
  <si>
    <t xml:space="preserve">IMCI guidelines - training replemenishment </t>
  </si>
  <si>
    <t>Public sector</t>
  </si>
  <si>
    <t>NICRA</t>
  </si>
  <si>
    <t>Indirect costs</t>
  </si>
  <si>
    <t>Assumptions</t>
  </si>
  <si>
    <t>Subtotal</t>
  </si>
  <si>
    <t># of years</t>
  </si>
  <si>
    <t># of units / year</t>
  </si>
  <si>
    <t>Cost per unit</t>
  </si>
  <si>
    <t>Purpose</t>
  </si>
  <si>
    <t>No.</t>
  </si>
  <si>
    <t>High</t>
  </si>
  <si>
    <t>Low</t>
  </si>
  <si>
    <t xml:space="preserve">BUDGET FOR GIVEWELL </t>
  </si>
  <si>
    <t>Staffing &amp; expenses</t>
  </si>
  <si>
    <t>HQ staff &amp; expenses</t>
  </si>
  <si>
    <t>TZ expenses</t>
  </si>
  <si>
    <t>2 years of PO</t>
  </si>
  <si>
    <t>2.5 years of product funding 
(inclusive of 5% overhead)</t>
  </si>
  <si>
    <t>Amount</t>
  </si>
  <si>
    <t>Description</t>
  </si>
  <si>
    <t>% of total</t>
  </si>
  <si>
    <t>Phase I grand total</t>
  </si>
  <si>
    <t xml:space="preserve">Phase I core total </t>
  </si>
  <si>
    <t xml:space="preserve">Phase I M&amp;E </t>
  </si>
  <si>
    <t xml:space="preserve">Phase II core total </t>
  </si>
  <si>
    <t>Phase I &amp; II core total</t>
  </si>
  <si>
    <t>Phase I &amp; II M&amp;E total</t>
  </si>
  <si>
    <t>Phase I &amp; II grand total</t>
  </si>
  <si>
    <t>Full overhead applied to all line items unless noted otherwise</t>
  </si>
  <si>
    <t>TZ public sector staff</t>
  </si>
  <si>
    <t>2 years of SPO + PA staff time (1 year of PO time covered by BMGF)</t>
  </si>
  <si>
    <t>TZ private sector staff</t>
  </si>
  <si>
    <t>2 years of field expenses</t>
  </si>
  <si>
    <t>Public and private programmatic activities</t>
  </si>
  <si>
    <t>1 year of staff time &amp; expenses</t>
  </si>
  <si>
    <t>TZ country director staff</t>
  </si>
  <si>
    <t>$250K training and supportive supervision ($6000 / district for trainings + $4000 / district for SS = $10K / district * 25 districts [~15%  of country])
+ $250K private sector programs, including affordability work and engagement with wholesalers and drug shops</t>
  </si>
  <si>
    <t>2 years of Country Director</t>
  </si>
  <si>
    <t>2.5 years of senior program officer  (inclusive of 18.01% overhead) 
$1M of M&amp;E activities (inclusive of 12% overhead)</t>
  </si>
  <si>
    <t>Leadership of Tanzania country office</t>
  </si>
  <si>
    <t>Strategic leadership and program support from DC-based staff</t>
  </si>
  <si>
    <t xml:space="preserve">Sustaining and catalyzing gains from Phase 1 activities </t>
  </si>
  <si>
    <t>Phase II (4 years)</t>
  </si>
  <si>
    <t>Phase II total per year (over 4 years)</t>
  </si>
  <si>
    <t>Technology, office rent, supplies, etc. for TZ office operations</t>
  </si>
  <si>
    <t>Program implementation in public sector</t>
  </si>
  <si>
    <t>Program implementation in private sector</t>
  </si>
  <si>
    <t>Staffing &amp; expenses over 4 years</t>
  </si>
  <si>
    <t>Activities over 4 years</t>
  </si>
  <si>
    <t>Phase II M&amp;E over 4 years</t>
  </si>
  <si>
    <t>Phase II grand total (over 4 years)</t>
  </si>
  <si>
    <r>
      <rPr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Illustrative staffing budget, specific breakdown b/w  personnel may vary. </t>
    </r>
  </si>
  <si>
    <t>Emergency amox DT funding amounting to ~10.5 months over 4 years (inclusive of 5% overhead). Note: This is an estimate as there may be some variations due to increases in volumes due to population growth rates and increased care-seeking as well as fluctuations in price driven by market factors</t>
  </si>
  <si>
    <t>Testing feasibility of diagnosis and prescription interventions; three health facility surveys (1 per year for 3 years) and associated staff costs including strategic and technical leadership</t>
  </si>
  <si>
    <t xml:space="preserve">Note: Illustrative staffing budget, specific breakdown b/w  personnel will depend on recruiting progress.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</si>
</sst>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;;;"/>
    <numFmt numFmtId="167" formatCode="_-* #,##0.00_-;\-* #,##0.00_-;_-* &quot;-&quot;??_-;_-@_-"/>
    <numFmt numFmtId="168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Open Sans Light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9" fontId="12" fillId="7" borderId="1">
      <alignment horizontal="right" vertical="center"/>
      <protection locked="0"/>
    </xf>
    <xf numFmtId="3" fontId="13" fillId="0" borderId="2" applyFont="0" applyFill="0" applyBorder="0" applyAlignment="0">
      <alignment vertical="top"/>
      <protection hidden="1"/>
    </xf>
    <xf numFmtId="166" fontId="12" fillId="0" borderId="2" applyFill="0" applyBorder="0" applyAlignment="0">
      <alignment vertical="top"/>
      <protection hidden="1"/>
    </xf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12" fillId="0" borderId="0">
      <alignment vertical="top"/>
    </xf>
    <xf numFmtId="0" fontId="1" fillId="0" borderId="0"/>
    <xf numFmtId="0" fontId="1" fillId="0" borderId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2" fillId="0" borderId="0" applyFont="0" applyFill="0" applyBorder="0" applyAlignment="0"/>
    <xf numFmtId="9" fontId="12" fillId="0" borderId="0" applyFont="0" applyFill="0" applyBorder="0" applyAlignment="0" applyProtection="0"/>
    <xf numFmtId="0" fontId="14" fillId="0" borderId="0"/>
    <xf numFmtId="0" fontId="12" fillId="0" borderId="3" applyNumberFormat="0" applyFont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2" fillId="0" borderId="0"/>
    <xf numFmtId="44" fontId="1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4" fontId="0" fillId="0" borderId="0" xfId="0" applyNumberFormat="1"/>
    <xf numFmtId="164" fontId="0" fillId="0" borderId="0" xfId="0" applyNumberFormat="1" applyAlignment="1">
      <alignment vertical="center" wrapText="1"/>
    </xf>
    <xf numFmtId="164" fontId="9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64" fontId="0" fillId="0" borderId="0" xfId="2" applyNumberFormat="1" applyFont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2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44" fontId="0" fillId="0" borderId="0" xfId="2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44" fontId="8" fillId="0" borderId="0" xfId="2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7" fillId="0" borderId="0" xfId="3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4" fontId="1" fillId="0" borderId="0" xfId="2" applyNumberFormat="1" applyFont="1" applyFill="1"/>
    <xf numFmtId="0" fontId="0" fillId="0" borderId="0" xfId="0" applyFont="1"/>
    <xf numFmtId="0" fontId="0" fillId="0" borderId="0" xfId="0" applyNumberFormat="1" applyFont="1"/>
    <xf numFmtId="0" fontId="0" fillId="0" borderId="0" xfId="0" applyFont="1" applyFill="1"/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0" fillId="0" borderId="0" xfId="0" applyFill="1"/>
    <xf numFmtId="164" fontId="0" fillId="0" borderId="0" xfId="2" applyNumberFormat="1" applyFont="1"/>
    <xf numFmtId="164" fontId="0" fillId="0" borderId="0" xfId="0" applyNumberFormat="1"/>
    <xf numFmtId="3" fontId="0" fillId="0" borderId="0" xfId="0" applyNumberFormat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left" vertical="center" wrapText="1"/>
    </xf>
    <xf numFmtId="164" fontId="0" fillId="0" borderId="4" xfId="2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164" fontId="9" fillId="0" borderId="4" xfId="2" applyNumberFormat="1" applyFont="1" applyFill="1" applyBorder="1" applyAlignment="1">
      <alignment vertical="center"/>
    </xf>
    <xf numFmtId="0" fontId="0" fillId="0" borderId="4" xfId="0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9" fillId="8" borderId="4" xfId="0" applyNumberFormat="1" applyFont="1" applyFill="1" applyBorder="1"/>
    <xf numFmtId="0" fontId="8" fillId="0" borderId="0" xfId="0" applyFont="1" applyFill="1" applyBorder="1"/>
    <xf numFmtId="164" fontId="9" fillId="8" borderId="6" xfId="0" applyNumberFormat="1" applyFont="1" applyFill="1" applyBorder="1"/>
    <xf numFmtId="0" fontId="0" fillId="0" borderId="7" xfId="0" applyBorder="1"/>
    <xf numFmtId="0" fontId="0" fillId="0" borderId="8" xfId="0" applyBorder="1"/>
    <xf numFmtId="0" fontId="9" fillId="0" borderId="9" xfId="0" applyFont="1" applyBorder="1"/>
    <xf numFmtId="0" fontId="7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9" fillId="0" borderId="9" xfId="0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9" xfId="0" applyFill="1" applyBorder="1"/>
    <xf numFmtId="0" fontId="20" fillId="4" borderId="9" xfId="0" applyFont="1" applyFill="1" applyBorder="1"/>
    <xf numFmtId="0" fontId="9" fillId="8" borderId="9" xfId="0" applyFont="1" applyFill="1" applyBorder="1"/>
    <xf numFmtId="0" fontId="9" fillId="8" borderId="10" xfId="0" applyFont="1" applyFill="1" applyBorder="1"/>
    <xf numFmtId="0" fontId="0" fillId="0" borderId="4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64" fontId="20" fillId="0" borderId="4" xfId="0" applyNumberFormat="1" applyFont="1" applyFill="1" applyBorder="1"/>
    <xf numFmtId="164" fontId="20" fillId="4" borderId="4" xfId="2" applyNumberFormat="1" applyFont="1" applyFill="1" applyBorder="1" applyAlignment="1">
      <alignment vertical="center"/>
    </xf>
    <xf numFmtId="0" fontId="9" fillId="0" borderId="9" xfId="0" applyFont="1" applyFill="1" applyBorder="1"/>
    <xf numFmtId="0" fontId="21" fillId="3" borderId="9" xfId="0" applyFont="1" applyFill="1" applyBorder="1"/>
    <xf numFmtId="3" fontId="7" fillId="0" borderId="4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9" fontId="8" fillId="0" borderId="5" xfId="37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/>
    <xf numFmtId="9" fontId="8" fillId="0" borderId="5" xfId="37" applyFont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44" fontId="0" fillId="0" borderId="0" xfId="0" applyNumberFormat="1" applyFill="1" applyBorder="1"/>
    <xf numFmtId="44" fontId="17" fillId="0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9" fontId="9" fillId="0" borderId="5" xfId="37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9" fontId="7" fillId="0" borderId="0" xfId="0" applyNumberFormat="1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4" fontId="0" fillId="0" borderId="0" xfId="0" applyNumberForma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0" fontId="8" fillId="0" borderId="4" xfId="0" applyNumberFormat="1" applyFont="1" applyFill="1" applyBorder="1" applyAlignment="1">
      <alignment vertical="center"/>
    </xf>
    <xf numFmtId="10" fontId="0" fillId="0" borderId="4" xfId="0" applyNumberFormat="1" applyFont="1" applyFill="1" applyBorder="1"/>
    <xf numFmtId="0" fontId="5" fillId="0" borderId="4" xfId="0" applyFont="1" applyBorder="1" applyAlignment="1">
      <alignment vertical="center"/>
    </xf>
    <xf numFmtId="164" fontId="5" fillId="0" borderId="4" xfId="2" applyNumberFormat="1" applyFont="1" applyBorder="1" applyAlignment="1">
      <alignment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4" xfId="0" applyNumberFormat="1" applyBorder="1"/>
    <xf numFmtId="164" fontId="0" fillId="0" borderId="4" xfId="2" applyNumberFormat="1" applyFont="1" applyFill="1" applyBorder="1"/>
    <xf numFmtId="164" fontId="5" fillId="4" borderId="6" xfId="2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42">
    <cellStyle name="_frmINPUT_TextTable" xfId="7"/>
    <cellStyle name="AA-Unhidden" xfId="8"/>
    <cellStyle name="BB-Hidden" xfId="9"/>
    <cellStyle name="Comma" xfId="1" builtinId="3"/>
    <cellStyle name="Comma 2" xfId="10"/>
    <cellStyle name="Comma 2 2" xfId="11"/>
    <cellStyle name="Comma 3" xfId="12"/>
    <cellStyle name="Comma 4" xfId="13"/>
    <cellStyle name="Comma 5" xfId="14"/>
    <cellStyle name="Comma0" xfId="15"/>
    <cellStyle name="Comma0 - Style2" xfId="16"/>
    <cellStyle name="Curren - Style1" xfId="17"/>
    <cellStyle name="Curren - Style3" xfId="18"/>
    <cellStyle name="Currency" xfId="2" builtinId="4"/>
    <cellStyle name="Currency 2" xfId="6"/>
    <cellStyle name="Currency 2 2" xfId="19"/>
    <cellStyle name="Currency 2 3" xfId="41"/>
    <cellStyle name="Currency 3" xfId="20"/>
    <cellStyle name="Currency0" xfId="21"/>
    <cellStyle name="Date" xfId="22"/>
    <cellStyle name="Fixed" xfId="23"/>
    <cellStyle name="Good" xfId="3" builtinId="26"/>
    <cellStyle name="Heading 1 2" xfId="24"/>
    <cellStyle name="Heading 2 2" xfId="25"/>
    <cellStyle name="Normal" xfId="0" builtinId="0"/>
    <cellStyle name="Normal 2" xfId="4"/>
    <cellStyle name="Normal 2 2" xfId="26"/>
    <cellStyle name="Normal 2 3" xfId="27"/>
    <cellStyle name="Normal 2 4" xfId="38"/>
    <cellStyle name="Normal 2 4 2" xfId="40"/>
    <cellStyle name="Normal 3" xfId="28"/>
    <cellStyle name="Normal 3 2" xfId="29"/>
    <cellStyle name="Normal 4" xfId="30"/>
    <cellStyle name="Percent" xfId="37" builtinId="5"/>
    <cellStyle name="Percent 2" xfId="5"/>
    <cellStyle name="Percent 2 2" xfId="31"/>
    <cellStyle name="Percent 2 3" xfId="39"/>
    <cellStyle name="Percent 3" xfId="32"/>
    <cellStyle name="Percent 3 2" xfId="33"/>
    <cellStyle name="Percent 4" xfId="34"/>
    <cellStyle name="Style 1" xfId="35"/>
    <cellStyle name="Total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48"/>
  <sheetViews>
    <sheetView tabSelected="1" zoomScale="85" zoomScaleNormal="80" workbookViewId="0">
      <selection activeCell="E1" sqref="E1"/>
    </sheetView>
  </sheetViews>
  <sheetFormatPr defaultRowHeight="15" x14ac:dyDescent="0.25"/>
  <cols>
    <col min="1" max="1" width="57.5703125" customWidth="1"/>
    <col min="2" max="2" width="24.7109375" customWidth="1"/>
    <col min="3" max="3" width="44.7109375" customWidth="1"/>
    <col min="4" max="4" width="38.140625" customWidth="1"/>
    <col min="6" max="6" width="9.28515625" bestFit="1" customWidth="1"/>
    <col min="8" max="8" width="11" bestFit="1" customWidth="1"/>
  </cols>
  <sheetData>
    <row r="1" spans="1:4" x14ac:dyDescent="0.25">
      <c r="A1" s="93"/>
      <c r="B1" s="125" t="s">
        <v>2</v>
      </c>
      <c r="C1" s="125"/>
      <c r="D1" s="126"/>
    </row>
    <row r="2" spans="1:4" x14ac:dyDescent="0.25">
      <c r="A2" s="94"/>
      <c r="B2" s="83" t="s">
        <v>44</v>
      </c>
      <c r="C2" s="84" t="s">
        <v>45</v>
      </c>
      <c r="D2" s="85" t="s">
        <v>46</v>
      </c>
    </row>
    <row r="3" spans="1:4" s="18" customFormat="1" ht="30" x14ac:dyDescent="0.25">
      <c r="A3" s="95" t="s">
        <v>28</v>
      </c>
      <c r="B3" s="117">
        <v>0.18010000000000001</v>
      </c>
      <c r="C3" s="48" t="s">
        <v>54</v>
      </c>
      <c r="D3" s="96"/>
    </row>
    <row r="4" spans="1:4" s="41" customFormat="1" x14ac:dyDescent="0.25">
      <c r="A4" s="97"/>
      <c r="B4" s="118"/>
      <c r="C4" s="98"/>
      <c r="D4" s="99"/>
    </row>
    <row r="5" spans="1:4" s="1" customFormat="1" x14ac:dyDescent="0.25">
      <c r="A5" s="100" t="s">
        <v>0</v>
      </c>
      <c r="B5" s="119"/>
      <c r="C5" s="101"/>
      <c r="D5" s="102"/>
    </row>
    <row r="6" spans="1:4" ht="105" x14ac:dyDescent="0.25">
      <c r="A6" s="80" t="s">
        <v>59</v>
      </c>
      <c r="B6" s="49">
        <f>460602.19*(1+B3)</f>
        <v>543556.64441900002</v>
      </c>
      <c r="C6" s="73" t="s">
        <v>62</v>
      </c>
      <c r="D6" s="103"/>
    </row>
    <row r="7" spans="1:4" ht="30" x14ac:dyDescent="0.25">
      <c r="A7" s="72" t="s">
        <v>1</v>
      </c>
      <c r="B7" s="49">
        <f>2.5*10^6*1.05</f>
        <v>2625000</v>
      </c>
      <c r="C7" s="50" t="s">
        <v>43</v>
      </c>
      <c r="D7" s="104"/>
    </row>
    <row r="8" spans="1:4" x14ac:dyDescent="0.25">
      <c r="A8" s="72"/>
      <c r="B8" s="120">
        <f>SUM(B6:B7)</f>
        <v>3168556.644419</v>
      </c>
      <c r="C8" s="29"/>
      <c r="D8" s="88">
        <f>B8/$B$21</f>
        <v>0.49508697508847727</v>
      </c>
    </row>
    <row r="9" spans="1:4" ht="45.4" customHeight="1" x14ac:dyDescent="0.25">
      <c r="A9" s="72"/>
      <c r="B9" s="120"/>
      <c r="C9" s="51" t="s">
        <v>80</v>
      </c>
      <c r="D9" s="105"/>
    </row>
    <row r="10" spans="1:4" x14ac:dyDescent="0.25">
      <c r="A10" s="100" t="s">
        <v>39</v>
      </c>
      <c r="B10" s="49"/>
      <c r="C10" s="46"/>
      <c r="D10" s="106"/>
    </row>
    <row r="11" spans="1:4" x14ac:dyDescent="0.25">
      <c r="A11" s="72" t="s">
        <v>40</v>
      </c>
      <c r="B11" s="121">
        <v>261875.55655208553</v>
      </c>
      <c r="C11" s="107" t="s">
        <v>60</v>
      </c>
      <c r="D11" s="108"/>
    </row>
    <row r="12" spans="1:4" x14ac:dyDescent="0.25">
      <c r="A12" s="72" t="s">
        <v>61</v>
      </c>
      <c r="B12" s="122">
        <v>501244.20435285009</v>
      </c>
      <c r="C12" s="51" t="s">
        <v>63</v>
      </c>
      <c r="D12" s="109"/>
    </row>
    <row r="13" spans="1:4" ht="30" x14ac:dyDescent="0.25">
      <c r="A13" s="72" t="s">
        <v>55</v>
      </c>
      <c r="B13" s="122">
        <v>251563.3944852</v>
      </c>
      <c r="C13" s="51" t="s">
        <v>56</v>
      </c>
      <c r="D13" s="109"/>
    </row>
    <row r="14" spans="1:4" x14ac:dyDescent="0.25">
      <c r="A14" s="72" t="s">
        <v>57</v>
      </c>
      <c r="B14" s="122">
        <v>284379.03386763146</v>
      </c>
      <c r="C14" s="51" t="s">
        <v>42</v>
      </c>
      <c r="D14" s="110"/>
    </row>
    <row r="15" spans="1:4" x14ac:dyDescent="0.25">
      <c r="A15" s="72" t="s">
        <v>41</v>
      </c>
      <c r="B15" s="122">
        <v>278245.1581</v>
      </c>
      <c r="C15" s="51" t="s">
        <v>58</v>
      </c>
      <c r="D15" s="110"/>
    </row>
    <row r="16" spans="1:4" x14ac:dyDescent="0.25">
      <c r="A16" s="72"/>
      <c r="B16" s="120">
        <f>SUM(B11:B15)</f>
        <v>1577307.3473577672</v>
      </c>
      <c r="C16" s="111"/>
      <c r="D16" s="88">
        <f>B16/$B$21</f>
        <v>0.24645427272497977</v>
      </c>
    </row>
    <row r="17" spans="1:6" x14ac:dyDescent="0.25">
      <c r="A17" s="72"/>
      <c r="B17" s="120"/>
      <c r="C17" s="111"/>
      <c r="D17" s="104"/>
    </row>
    <row r="18" spans="1:6" x14ac:dyDescent="0.25">
      <c r="A18" s="112" t="s">
        <v>48</v>
      </c>
      <c r="B18" s="53">
        <f>B16+B8</f>
        <v>4745863.9917767672</v>
      </c>
      <c r="C18" s="46"/>
      <c r="D18" s="88">
        <f>B18/$B$21</f>
        <v>0.74154124781345698</v>
      </c>
    </row>
    <row r="19" spans="1:6" x14ac:dyDescent="0.25">
      <c r="A19" s="54"/>
      <c r="B19" s="123"/>
      <c r="C19" s="113"/>
      <c r="D19" s="103"/>
    </row>
    <row r="20" spans="1:6" s="12" customFormat="1" ht="60" x14ac:dyDescent="0.25">
      <c r="A20" s="112" t="s">
        <v>49</v>
      </c>
      <c r="B20" s="53">
        <v>1654136.0160051901</v>
      </c>
      <c r="C20" s="51" t="s">
        <v>64</v>
      </c>
      <c r="D20" s="88">
        <f>B20/$B$21</f>
        <v>0.25845875218654296</v>
      </c>
    </row>
    <row r="21" spans="1:6" s="12" customFormat="1" x14ac:dyDescent="0.25">
      <c r="A21" s="114" t="s">
        <v>47</v>
      </c>
      <c r="B21" s="124">
        <f>B20+B18</f>
        <v>6400000.0077819573</v>
      </c>
      <c r="C21" s="115"/>
      <c r="D21" s="116"/>
    </row>
    <row r="23" spans="1:6" ht="15.75" x14ac:dyDescent="0.25">
      <c r="A23" s="127" t="s">
        <v>68</v>
      </c>
      <c r="B23" s="127"/>
      <c r="C23" s="127"/>
      <c r="D23" s="127"/>
    </row>
    <row r="24" spans="1:6" ht="18.399999999999999" customHeight="1" x14ac:dyDescent="0.25">
      <c r="A24" s="77"/>
      <c r="B24" s="83" t="s">
        <v>44</v>
      </c>
      <c r="C24" s="84" t="s">
        <v>45</v>
      </c>
      <c r="D24" s="85" t="s">
        <v>46</v>
      </c>
    </row>
    <row r="25" spans="1:6" x14ac:dyDescent="0.25">
      <c r="A25" s="62" t="s">
        <v>74</v>
      </c>
      <c r="B25" s="45"/>
      <c r="C25" s="46"/>
      <c r="D25" s="47"/>
    </row>
    <row r="26" spans="1:6" s="12" customFormat="1" ht="30" x14ac:dyDescent="0.25">
      <c r="A26" s="63" t="s">
        <v>59</v>
      </c>
      <c r="B26" s="78">
        <v>739450</v>
      </c>
      <c r="C26" s="48" t="s">
        <v>67</v>
      </c>
      <c r="D26" s="86"/>
      <c r="E26" s="44"/>
      <c r="F26" s="44"/>
    </row>
    <row r="27" spans="1:6" s="12" customFormat="1" ht="114.75" customHeight="1" x14ac:dyDescent="0.25">
      <c r="A27" s="64" t="s">
        <v>1</v>
      </c>
      <c r="B27" s="78">
        <v>525000</v>
      </c>
      <c r="C27" s="50" t="s">
        <v>78</v>
      </c>
      <c r="D27" s="87"/>
      <c r="E27" s="44"/>
      <c r="F27" s="13"/>
    </row>
    <row r="28" spans="1:6" x14ac:dyDescent="0.25">
      <c r="A28" s="65"/>
      <c r="B28" s="79">
        <f>SUM(B26:B27)</f>
        <v>1264450</v>
      </c>
      <c r="C28" s="46"/>
      <c r="D28" s="88">
        <f>B28/$B$41</f>
        <v>0.22557720254654531</v>
      </c>
      <c r="F28" s="43"/>
    </row>
    <row r="29" spans="1:6" ht="45" customHeight="1" x14ac:dyDescent="0.25">
      <c r="A29" s="66" t="s">
        <v>73</v>
      </c>
      <c r="B29" s="80"/>
      <c r="C29" s="73" t="s">
        <v>77</v>
      </c>
      <c r="D29" s="47"/>
    </row>
    <row r="30" spans="1:6" s="12" customFormat="1" ht="30" x14ac:dyDescent="0.25">
      <c r="A30" s="64" t="s">
        <v>40</v>
      </c>
      <c r="B30" s="81">
        <v>551843</v>
      </c>
      <c r="C30" s="51" t="s">
        <v>66</v>
      </c>
      <c r="D30" s="89"/>
    </row>
    <row r="31" spans="1:6" x14ac:dyDescent="0.25">
      <c r="A31" s="64" t="s">
        <v>61</v>
      </c>
      <c r="B31" s="78">
        <v>476307</v>
      </c>
      <c r="C31" s="46" t="s">
        <v>65</v>
      </c>
      <c r="D31" s="47"/>
    </row>
    <row r="32" spans="1:6" x14ac:dyDescent="0.25">
      <c r="A32" s="64" t="s">
        <v>55</v>
      </c>
      <c r="B32" s="78">
        <v>712646</v>
      </c>
      <c r="C32" s="46" t="s">
        <v>71</v>
      </c>
      <c r="D32" s="47"/>
    </row>
    <row r="33" spans="1:4" x14ac:dyDescent="0.25">
      <c r="A33" s="64" t="s">
        <v>57</v>
      </c>
      <c r="B33" s="78">
        <v>576072</v>
      </c>
      <c r="C33" s="46" t="s">
        <v>72</v>
      </c>
      <c r="D33" s="90"/>
    </row>
    <row r="34" spans="1:4" ht="30" x14ac:dyDescent="0.25">
      <c r="A34" s="64" t="s">
        <v>41</v>
      </c>
      <c r="B34" s="78">
        <v>217333</v>
      </c>
      <c r="C34" s="52" t="s">
        <v>70</v>
      </c>
      <c r="D34" s="47"/>
    </row>
    <row r="35" spans="1:4" x14ac:dyDescent="0.25">
      <c r="A35" s="65"/>
      <c r="B35" s="82">
        <f>SUM(B30:B34)</f>
        <v>2534201</v>
      </c>
      <c r="C35" s="46"/>
      <c r="D35" s="88">
        <f>B35/$B$41</f>
        <v>0.45210010065297773</v>
      </c>
    </row>
    <row r="36" spans="1:4" x14ac:dyDescent="0.25">
      <c r="A36" s="65"/>
      <c r="B36" s="80"/>
      <c r="C36" s="46"/>
      <c r="D36" s="47"/>
    </row>
    <row r="37" spans="1:4" x14ac:dyDescent="0.25">
      <c r="A37" s="67" t="s">
        <v>50</v>
      </c>
      <c r="B37" s="82">
        <f>B28+B35</f>
        <v>3798651</v>
      </c>
      <c r="C37" s="29"/>
      <c r="D37" s="88">
        <f>B37/$B$41</f>
        <v>0.67767730319952302</v>
      </c>
    </row>
    <row r="38" spans="1:4" x14ac:dyDescent="0.25">
      <c r="A38" s="68"/>
      <c r="B38" s="80"/>
      <c r="C38" s="46"/>
      <c r="D38" s="47"/>
    </row>
    <row r="39" spans="1:4" ht="60" x14ac:dyDescent="0.25">
      <c r="A39" s="67" t="s">
        <v>75</v>
      </c>
      <c r="B39" s="79">
        <v>1806747</v>
      </c>
      <c r="C39" s="51" t="s">
        <v>79</v>
      </c>
      <c r="D39" s="88">
        <f>B39/$B$41</f>
        <v>0.32232269680047698</v>
      </c>
    </row>
    <row r="40" spans="1:4" x14ac:dyDescent="0.25">
      <c r="A40" s="67"/>
      <c r="B40" s="53"/>
      <c r="C40" s="51"/>
      <c r="D40" s="88"/>
    </row>
    <row r="41" spans="1:4" s="41" customFormat="1" ht="15.75" x14ac:dyDescent="0.25">
      <c r="A41" s="69" t="s">
        <v>76</v>
      </c>
      <c r="B41" s="75">
        <f>B39+B37</f>
        <v>5605398</v>
      </c>
      <c r="C41" s="55"/>
      <c r="D41" s="88"/>
    </row>
    <row r="42" spans="1:4" ht="15.75" x14ac:dyDescent="0.25">
      <c r="A42" s="76" t="s">
        <v>69</v>
      </c>
      <c r="B42" s="74">
        <f>B41/4</f>
        <v>1401349.5</v>
      </c>
      <c r="C42" s="56"/>
      <c r="D42" s="91"/>
    </row>
    <row r="43" spans="1:4" x14ac:dyDescent="0.25">
      <c r="A43" s="65"/>
      <c r="B43" s="45"/>
      <c r="C43" s="56"/>
      <c r="D43" s="91"/>
    </row>
    <row r="44" spans="1:4" s="5" customFormat="1" x14ac:dyDescent="0.25">
      <c r="A44" s="70" t="s">
        <v>51</v>
      </c>
      <c r="B44" s="57">
        <f>B37+B18</f>
        <v>8544514.9917767681</v>
      </c>
      <c r="C44" s="58"/>
      <c r="D44" s="92">
        <f>B44/$B$46</f>
        <v>0.71172275889880299</v>
      </c>
    </row>
    <row r="45" spans="1:4" x14ac:dyDescent="0.25">
      <c r="A45" s="70" t="s">
        <v>52</v>
      </c>
      <c r="B45" s="57">
        <f>B39+B20</f>
        <v>3460883.0160051901</v>
      </c>
      <c r="C45" s="46"/>
      <c r="D45" s="92">
        <f>B45/$B$46</f>
        <v>0.28827724110119701</v>
      </c>
    </row>
    <row r="46" spans="1:4" x14ac:dyDescent="0.25">
      <c r="A46" s="71" t="s">
        <v>53</v>
      </c>
      <c r="B46" s="59">
        <f>B45+B44</f>
        <v>12005398.007781958</v>
      </c>
      <c r="C46" s="60"/>
      <c r="D46" s="61"/>
    </row>
    <row r="48" spans="1:4" x14ac:dyDescent="0.25">
      <c r="B48" s="42"/>
    </row>
  </sheetData>
  <mergeCells count="2">
    <mergeCell ref="B1:D1"/>
    <mergeCell ref="A23:D2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pane ySplit="2" topLeftCell="A3" activePane="bottomLeft" state="frozen"/>
      <selection pane="bottomLeft" activeCell="C18" sqref="C18"/>
    </sheetView>
  </sheetViews>
  <sheetFormatPr defaultRowHeight="15" outlineLevelCol="1" x14ac:dyDescent="0.25"/>
  <cols>
    <col min="1" max="1" width="4.28515625" customWidth="1"/>
    <col min="2" max="2" width="51.28515625" customWidth="1"/>
    <col min="3" max="4" width="14.28515625" bestFit="1" customWidth="1"/>
    <col min="5" max="5" width="9.28515625" bestFit="1" customWidth="1"/>
    <col min="6" max="6" width="14.28515625" customWidth="1"/>
    <col min="7" max="7" width="12.28515625" hidden="1" customWidth="1" outlineLevel="1"/>
    <col min="8" max="8" width="14.42578125" hidden="1" customWidth="1" outlineLevel="1"/>
    <col min="9" max="9" width="8.7109375" hidden="1" customWidth="1" outlineLevel="1"/>
    <col min="10" max="10" width="14.28515625" hidden="1" customWidth="1" outlineLevel="1"/>
    <col min="11" max="11" width="85.7109375" style="2" customWidth="1" collapsed="1"/>
    <col min="12" max="12" width="15" bestFit="1" customWidth="1"/>
    <col min="13" max="13" width="17.28515625" bestFit="1" customWidth="1"/>
  </cols>
  <sheetData>
    <row r="1" spans="1:13" s="12" customFormat="1" x14ac:dyDescent="0.25">
      <c r="A1" s="39" t="s">
        <v>38</v>
      </c>
      <c r="B1" s="39"/>
      <c r="C1" s="128" t="s">
        <v>37</v>
      </c>
      <c r="D1" s="128"/>
      <c r="E1" s="128"/>
      <c r="F1" s="128"/>
      <c r="G1" s="129" t="s">
        <v>36</v>
      </c>
      <c r="H1" s="129"/>
      <c r="I1" s="129"/>
      <c r="J1" s="129"/>
      <c r="K1" s="20"/>
    </row>
    <row r="2" spans="1:13" s="12" customFormat="1" x14ac:dyDescent="0.25">
      <c r="A2" s="39" t="s">
        <v>35</v>
      </c>
      <c r="B2" s="39" t="s">
        <v>34</v>
      </c>
      <c r="C2" s="40" t="s">
        <v>33</v>
      </c>
      <c r="D2" s="40" t="s">
        <v>32</v>
      </c>
      <c r="E2" s="40" t="s">
        <v>31</v>
      </c>
      <c r="F2" s="40" t="s">
        <v>30</v>
      </c>
      <c r="G2" s="39" t="s">
        <v>33</v>
      </c>
      <c r="H2" s="39" t="s">
        <v>32</v>
      </c>
      <c r="I2" s="39" t="s">
        <v>31</v>
      </c>
      <c r="J2" s="39" t="s">
        <v>30</v>
      </c>
      <c r="K2" s="38" t="s">
        <v>29</v>
      </c>
    </row>
    <row r="3" spans="1:13" x14ac:dyDescent="0.25">
      <c r="D3" s="37"/>
      <c r="E3" s="37"/>
      <c r="F3" s="34"/>
      <c r="G3" s="35"/>
      <c r="H3" s="36"/>
      <c r="I3" s="35"/>
      <c r="J3" s="34" t="e">
        <f>#REF!*J18</f>
        <v>#REF!</v>
      </c>
      <c r="K3" s="2" t="s">
        <v>27</v>
      </c>
    </row>
    <row r="4" spans="1:13" s="12" customFormat="1" x14ac:dyDescent="0.25">
      <c r="A4" s="4" t="s">
        <v>26</v>
      </c>
      <c r="C4" s="33"/>
      <c r="D4" s="33"/>
      <c r="E4" s="33"/>
      <c r="F4" s="33"/>
      <c r="K4" s="20"/>
    </row>
    <row r="5" spans="1:13" s="12" customFormat="1" ht="30" x14ac:dyDescent="0.25">
      <c r="A5" s="12">
        <v>1</v>
      </c>
      <c r="B5" s="12" t="s">
        <v>25</v>
      </c>
      <c r="C5" s="24">
        <f>(10*1.06)</f>
        <v>10.600000000000001</v>
      </c>
      <c r="D5" s="18">
        <v>2000</v>
      </c>
      <c r="E5" s="18">
        <v>3</v>
      </c>
      <c r="F5" s="30" t="e">
        <f>E5*D5*C5*(1+#REF!)</f>
        <v>#REF!</v>
      </c>
      <c r="G5" s="24">
        <f>(10*1.06)</f>
        <v>10.600000000000001</v>
      </c>
      <c r="H5" s="18">
        <v>2000</v>
      </c>
      <c r="I5" s="18">
        <v>5</v>
      </c>
      <c r="J5" s="30">
        <f>G5*H5*I5</f>
        <v>106000.00000000001</v>
      </c>
      <c r="K5" s="20" t="s">
        <v>24</v>
      </c>
    </row>
    <row r="6" spans="1:13" s="12" customFormat="1" ht="30" x14ac:dyDescent="0.25">
      <c r="A6" s="12">
        <f>A5+1</f>
        <v>2</v>
      </c>
      <c r="B6" s="12" t="s">
        <v>23</v>
      </c>
      <c r="C6" s="24">
        <f>(10*1.06)</f>
        <v>10.600000000000001</v>
      </c>
      <c r="D6" s="23">
        <v>15000</v>
      </c>
      <c r="E6" s="18">
        <v>1</v>
      </c>
      <c r="F6" s="30" t="e">
        <f>E6*D6*C6*(1+#REF!)</f>
        <v>#REF!</v>
      </c>
      <c r="G6" s="24">
        <f>(10*1.06)</f>
        <v>10.600000000000001</v>
      </c>
      <c r="H6" s="23">
        <v>25000</v>
      </c>
      <c r="I6" s="18">
        <v>1</v>
      </c>
      <c r="J6" s="30">
        <f>G6*H6*I6</f>
        <v>265000.00000000006</v>
      </c>
      <c r="K6" s="20" t="s">
        <v>22</v>
      </c>
    </row>
    <row r="7" spans="1:13" s="12" customFormat="1" x14ac:dyDescent="0.25">
      <c r="A7" s="12">
        <f>A6+1</f>
        <v>3</v>
      </c>
      <c r="B7" s="12" t="s">
        <v>21</v>
      </c>
      <c r="C7" s="24">
        <f>(10*1.06)</f>
        <v>10.600000000000001</v>
      </c>
      <c r="D7" s="18">
        <v>8000</v>
      </c>
      <c r="E7" s="18">
        <v>2</v>
      </c>
      <c r="F7" s="30" t="e">
        <f>E7*D7*C7*(1+#REF!)</f>
        <v>#REF!</v>
      </c>
      <c r="G7" s="24">
        <f>(10*1.06)</f>
        <v>10.600000000000001</v>
      </c>
      <c r="H7" s="18">
        <v>8000</v>
      </c>
      <c r="I7" s="18">
        <v>3</v>
      </c>
      <c r="J7" s="30">
        <f>G7*H7*I7</f>
        <v>254400.00000000006</v>
      </c>
      <c r="K7" s="20" t="s">
        <v>20</v>
      </c>
    </row>
    <row r="8" spans="1:13" s="12" customFormat="1" x14ac:dyDescent="0.25">
      <c r="A8" s="12">
        <f>A7+1</f>
        <v>4</v>
      </c>
      <c r="B8" s="12" t="s">
        <v>19</v>
      </c>
      <c r="C8" s="24">
        <v>0.05</v>
      </c>
      <c r="D8" s="32">
        <v>1500000</v>
      </c>
      <c r="E8" s="18">
        <v>5</v>
      </c>
      <c r="F8" s="30" t="e">
        <f>E8*D8*C8*(1+#REF!)</f>
        <v>#REF!</v>
      </c>
      <c r="G8" s="24">
        <v>0.05</v>
      </c>
      <c r="H8" s="32">
        <v>2000000</v>
      </c>
      <c r="I8" s="18">
        <v>5</v>
      </c>
      <c r="J8" s="30">
        <f>G8*H8*I8</f>
        <v>500000</v>
      </c>
      <c r="K8" s="20" t="s">
        <v>18</v>
      </c>
    </row>
    <row r="9" spans="1:13" s="12" customFormat="1" x14ac:dyDescent="0.25">
      <c r="B9" s="4" t="s">
        <v>17</v>
      </c>
      <c r="C9" s="28"/>
      <c r="D9" s="27"/>
      <c r="E9" s="26"/>
      <c r="F9" s="25" t="e">
        <f>SUM(F5:F8)</f>
        <v>#REF!</v>
      </c>
      <c r="G9" s="24"/>
      <c r="H9" s="32"/>
      <c r="I9" s="18"/>
      <c r="J9" s="30"/>
      <c r="K9" s="20"/>
    </row>
    <row r="10" spans="1:13" s="12" customFormat="1" x14ac:dyDescent="0.25">
      <c r="A10" s="4" t="s">
        <v>16</v>
      </c>
      <c r="C10" s="18"/>
      <c r="D10" s="18"/>
      <c r="E10" s="18"/>
      <c r="F10" s="30"/>
      <c r="H10" s="15"/>
      <c r="J10" s="14"/>
      <c r="K10" s="20"/>
    </row>
    <row r="11" spans="1:13" s="12" customFormat="1" ht="60" x14ac:dyDescent="0.25">
      <c r="A11" s="12">
        <v>5</v>
      </c>
      <c r="B11" s="31" t="s">
        <v>15</v>
      </c>
      <c r="C11" s="19">
        <f>(3750*1.1)</f>
        <v>4125</v>
      </c>
      <c r="D11" s="18">
        <v>79</v>
      </c>
      <c r="E11" s="18">
        <v>2</v>
      </c>
      <c r="F11" s="30" t="e">
        <f>E11*D11*C11*(1+#REF!)</f>
        <v>#REF!</v>
      </c>
      <c r="G11" s="12">
        <f>(4500*1.1)</f>
        <v>4950</v>
      </c>
      <c r="H11" s="15">
        <v>85</v>
      </c>
      <c r="I11" s="12">
        <v>2</v>
      </c>
      <c r="J11" s="14">
        <f>I11*H11*G11</f>
        <v>841500</v>
      </c>
      <c r="K11" s="20" t="s">
        <v>14</v>
      </c>
    </row>
    <row r="12" spans="1:13" s="12" customFormat="1" ht="45" x14ac:dyDescent="0.25">
      <c r="A12" s="29">
        <f>A11+1</f>
        <v>6</v>
      </c>
      <c r="B12" s="12" t="s">
        <v>13</v>
      </c>
      <c r="C12" s="19">
        <f>(1000*1.1)</f>
        <v>1100</v>
      </c>
      <c r="D12" s="18">
        <f>79*3</f>
        <v>237</v>
      </c>
      <c r="E12" s="18">
        <v>2</v>
      </c>
      <c r="F12" s="30" t="e">
        <f>E12*D12*C12*(1+#REF!)</f>
        <v>#REF!</v>
      </c>
      <c r="G12" s="19">
        <f>(1200*1.1)</f>
        <v>1320</v>
      </c>
      <c r="H12" s="15">
        <f>85*2</f>
        <v>170</v>
      </c>
      <c r="I12" s="12">
        <v>2</v>
      </c>
      <c r="J12" s="14">
        <f>I12*H12*G12</f>
        <v>448800</v>
      </c>
      <c r="K12" s="20" t="s">
        <v>12</v>
      </c>
    </row>
    <row r="13" spans="1:13" s="12" customFormat="1" x14ac:dyDescent="0.25">
      <c r="A13" s="29">
        <f>A12+1</f>
        <v>7</v>
      </c>
      <c r="B13" s="12" t="s">
        <v>11</v>
      </c>
      <c r="C13" s="24">
        <f>(10*1.06)</f>
        <v>10.600000000000001</v>
      </c>
      <c r="D13" s="23">
        <v>2000</v>
      </c>
      <c r="E13" s="18">
        <v>2</v>
      </c>
      <c r="F13" s="30" t="e">
        <f>E13*D13*C13*(1+#REF!)</f>
        <v>#REF!</v>
      </c>
      <c r="G13" s="24">
        <f>(10*1.06)</f>
        <v>10.600000000000001</v>
      </c>
      <c r="H13" s="23">
        <v>2000</v>
      </c>
      <c r="I13" s="18">
        <v>4</v>
      </c>
      <c r="J13" s="14">
        <f>I13*H13*G13</f>
        <v>84800.000000000015</v>
      </c>
      <c r="K13" s="20" t="s">
        <v>10</v>
      </c>
    </row>
    <row r="14" spans="1:13" s="12" customFormat="1" x14ac:dyDescent="0.25">
      <c r="A14" s="29"/>
      <c r="B14" s="4" t="s">
        <v>9</v>
      </c>
      <c r="C14" s="28"/>
      <c r="D14" s="27"/>
      <c r="E14" s="26"/>
      <c r="F14" s="25" t="e">
        <f>SUM(F11:F13)</f>
        <v>#REF!</v>
      </c>
      <c r="G14" s="24"/>
      <c r="H14" s="23"/>
      <c r="I14" s="18"/>
      <c r="J14" s="14"/>
      <c r="K14" s="20"/>
      <c r="L14" s="16" t="e">
        <f>0.8*F14</f>
        <v>#REF!</v>
      </c>
    </row>
    <row r="15" spans="1:13" s="12" customFormat="1" x14ac:dyDescent="0.25">
      <c r="A15" s="4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1"/>
    </row>
    <row r="16" spans="1:13" s="12" customFormat="1" ht="45" x14ac:dyDescent="0.25">
      <c r="A16" s="12">
        <v>8</v>
      </c>
      <c r="B16" s="12" t="s">
        <v>7</v>
      </c>
      <c r="C16" s="19">
        <f>1*10^6</f>
        <v>1000000</v>
      </c>
      <c r="D16" s="18">
        <v>1</v>
      </c>
      <c r="E16" s="18">
        <v>3.5</v>
      </c>
      <c r="F16" s="17">
        <f>E16*D16*C16*1.05</f>
        <v>3675000</v>
      </c>
      <c r="G16" s="16">
        <f>C16</f>
        <v>1000000</v>
      </c>
      <c r="H16" s="12">
        <v>1</v>
      </c>
      <c r="I16" s="12">
        <v>3.75</v>
      </c>
      <c r="J16" s="14">
        <f>I16*H16*G16</f>
        <v>3750000</v>
      </c>
      <c r="K16" s="20" t="s">
        <v>6</v>
      </c>
      <c r="M16" s="12">
        <f>3.7+0.9+2</f>
        <v>6.6000000000000005</v>
      </c>
    </row>
    <row r="17" spans="1:12" s="12" customFormat="1" ht="135" x14ac:dyDescent="0.25">
      <c r="A17" s="12">
        <f>A16+1</f>
        <v>9</v>
      </c>
      <c r="B17" s="20" t="s">
        <v>5</v>
      </c>
      <c r="C17" s="19">
        <v>750000</v>
      </c>
      <c r="D17" s="18">
        <v>1</v>
      </c>
      <c r="E17" s="18">
        <v>2</v>
      </c>
      <c r="F17" s="17">
        <f>E17*D17*C17*1.12</f>
        <v>1680000.0000000002</v>
      </c>
      <c r="G17" s="16">
        <v>1800000</v>
      </c>
      <c r="H17" s="15">
        <v>1</v>
      </c>
      <c r="I17" s="12">
        <v>2</v>
      </c>
      <c r="J17" s="14">
        <f>I17*H17*G17</f>
        <v>3600000</v>
      </c>
      <c r="K17" s="3" t="s">
        <v>4</v>
      </c>
      <c r="L17" s="13">
        <f>F17/2</f>
        <v>840000.00000000012</v>
      </c>
    </row>
    <row r="18" spans="1:12" x14ac:dyDescent="0.25">
      <c r="A18" s="12"/>
      <c r="B18" s="11" t="s">
        <v>3</v>
      </c>
      <c r="C18" s="9"/>
      <c r="D18" s="9"/>
      <c r="E18" s="9"/>
      <c r="F18" s="8" t="e">
        <f>F9+F14+F16+F17</f>
        <v>#REF!</v>
      </c>
      <c r="G18" s="9"/>
      <c r="H18" s="10"/>
      <c r="I18" s="9"/>
      <c r="J18" s="8">
        <f>SUM(J4:J13)</f>
        <v>2500500</v>
      </c>
      <c r="K18" s="7"/>
      <c r="L18" s="6"/>
    </row>
  </sheetData>
  <mergeCells count="2">
    <mergeCell ref="C1:F1"/>
    <mergeCell ref="G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GW budget - 2018 update</vt:lpstr>
      <vt:lpstr>March 10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2018-11-15T22:37:02Z</dcterms:created>
  <dcterms:modified xsi:type="dcterms:W3CDTF">2018-11-15T22:37:19Z</dcterms:modified>
</cp:coreProperties>
</file>