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autoCompressPictures="0"/>
  <bookViews>
    <workbookView xWindow="-5085" yWindow="-18000" windowWidth="24240" windowHeight="13740"/>
  </bookViews>
  <sheets>
    <sheet name="Deworming wishlist" sheetId="1" r:id="rId1"/>
    <sheet name="Guinea Bissau" sheetId="8" r:id="rId2"/>
    <sheet name="DRC" sheetId="2" r:id="rId3"/>
    <sheet name="South Sudan" sheetId="3" r:id="rId4"/>
    <sheet name="Cameroon" sheetId="4" r:id="rId5"/>
    <sheet name="Guinea" sheetId="5" r:id="rId6"/>
    <sheet name="Cote d'Ivoire" sheetId="6" r:id="rId7"/>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C6" i="3" l="1"/>
  <c r="K16" i="8"/>
  <c r="J16" i="8"/>
  <c r="I16" i="8"/>
  <c r="E26" i="8"/>
  <c r="E21" i="8"/>
  <c r="G4" i="6"/>
  <c r="G5" i="6"/>
  <c r="F5" i="6"/>
  <c r="F4" i="5"/>
  <c r="G4" i="5"/>
  <c r="F5" i="5"/>
  <c r="G5" i="5"/>
  <c r="F6" i="5"/>
  <c r="G6" i="5"/>
  <c r="G7" i="5"/>
  <c r="F7" i="5"/>
  <c r="D19" i="1"/>
  <c r="E19" i="1"/>
  <c r="D28" i="4"/>
  <c r="D23" i="4"/>
  <c r="D22" i="4"/>
  <c r="D21" i="4"/>
  <c r="D17" i="4"/>
  <c r="D16" i="4"/>
  <c r="D15" i="4"/>
  <c r="C23" i="4"/>
  <c r="C22" i="4"/>
  <c r="C21" i="4"/>
  <c r="C17" i="4"/>
  <c r="C16" i="4"/>
  <c r="C15" i="4"/>
  <c r="B6" i="4"/>
  <c r="B27" i="4"/>
  <c r="B23" i="4"/>
  <c r="B22" i="4"/>
  <c r="B21" i="4"/>
  <c r="B7" i="4"/>
  <c r="B17" i="4"/>
  <c r="B16" i="4"/>
  <c r="B15" i="4"/>
  <c r="B18" i="4"/>
  <c r="B11" i="4"/>
  <c r="B8" i="4"/>
  <c r="I6" i="3"/>
  <c r="J6" i="3"/>
  <c r="K6" i="3"/>
  <c r="D5" i="3"/>
  <c r="K5" i="3"/>
  <c r="B29" i="4"/>
  <c r="B24" i="4"/>
  <c r="B12" i="4"/>
  <c r="B31" i="4"/>
  <c r="C24" i="4"/>
  <c r="C18" i="4"/>
  <c r="C31" i="4"/>
  <c r="D29" i="4"/>
  <c r="D24" i="4"/>
  <c r="D18" i="4"/>
  <c r="D31" i="4"/>
  <c r="D4" i="3"/>
  <c r="D6" i="3"/>
  <c r="D7" i="3"/>
  <c r="H4" i="3"/>
  <c r="K4" i="3"/>
  <c r="K7" i="3"/>
  <c r="G6" i="3"/>
  <c r="H6" i="3"/>
  <c r="H5" i="3"/>
  <c r="H7" i="3"/>
  <c r="I7" i="3"/>
  <c r="J7" i="3"/>
  <c r="G5" i="3"/>
  <c r="G4" i="3"/>
  <c r="F5" i="3"/>
  <c r="F4" i="3"/>
  <c r="E5" i="3"/>
  <c r="E4" i="3"/>
  <c r="B4" i="3"/>
  <c r="B5" i="3"/>
  <c r="B6" i="3"/>
  <c r="B7" i="3"/>
  <c r="C5" i="3"/>
  <c r="C4" i="3"/>
  <c r="G7" i="3"/>
  <c r="F7" i="3"/>
  <c r="E7" i="3"/>
  <c r="C7" i="3"/>
  <c r="G8" i="2"/>
  <c r="F8" i="2"/>
  <c r="E8" i="2"/>
  <c r="D8" i="2"/>
  <c r="C8" i="2"/>
</calcChain>
</file>

<file path=xl/sharedStrings.xml><?xml version="1.0" encoding="utf-8"?>
<sst xmlns="http://schemas.openxmlformats.org/spreadsheetml/2006/main" count="197" uniqueCount="174">
  <si>
    <t>Country</t>
  </si>
  <si>
    <t xml:space="preserve">DRC </t>
  </si>
  <si>
    <t>Guinea Bissau</t>
  </si>
  <si>
    <t>Nigeria</t>
  </si>
  <si>
    <t>Province (old)</t>
  </si>
  <si>
    <t>Project Area</t>
  </si>
  <si>
    <t>Population</t>
  </si>
  <si>
    <t>Notes</t>
  </si>
  <si>
    <t>Maniema</t>
  </si>
  <si>
    <t>Kasongo</t>
  </si>
  <si>
    <t>Orientale</t>
  </si>
  <si>
    <t>Ituri Nord</t>
  </si>
  <si>
    <t>Ituri Sud</t>
  </si>
  <si>
    <t>Uele</t>
  </si>
  <si>
    <t>Total</t>
  </si>
  <si>
    <t>*Schisto</t>
  </si>
  <si>
    <t>*STH</t>
  </si>
  <si>
    <t>&gt;5 yrs/height based at 65% target</t>
  </si>
  <si>
    <t>Budget estimates rely on Ministry of Health donor action plan budgeting exercise conducted with all NTD partners in March 2016</t>
  </si>
  <si>
    <t>State (old)</t>
  </si>
  <si>
    <t>Eastern Equatoria</t>
  </si>
  <si>
    <t>Central Equatoria</t>
  </si>
  <si>
    <t>Western Equatoria</t>
  </si>
  <si>
    <t>Number of LF Treatments</t>
  </si>
  <si>
    <t>Number of STH Treatments</t>
  </si>
  <si>
    <t>Number of Sch Treatments</t>
  </si>
  <si>
    <t>Estimated Population (2016)</t>
  </si>
  <si>
    <t>South Sudan</t>
  </si>
  <si>
    <t>Notes*</t>
  </si>
  <si>
    <t xml:space="preserve">Budget estimates based on Sightsavers 2016 budget for Western Equatoria, inflated for increased CDDs, supervision and materials. </t>
  </si>
  <si>
    <t>Description</t>
  </si>
  <si>
    <t>Dissemination of study report</t>
  </si>
  <si>
    <t>Subtotal objective 1</t>
  </si>
  <si>
    <t>Subtotal objective 2</t>
  </si>
  <si>
    <t>Production of posters, flyers, flip charts, calendars, brochures</t>
  </si>
  <si>
    <t>Production of T-shirts</t>
  </si>
  <si>
    <t>Banners</t>
  </si>
  <si>
    <t>Subtotal objective 3</t>
  </si>
  <si>
    <t>Community talks</t>
  </si>
  <si>
    <t>Subtotal objective 4</t>
  </si>
  <si>
    <t>Objective 5: To ensure effective learning management and knowledge sharing</t>
  </si>
  <si>
    <t>Yearly review and planning meetings</t>
  </si>
  <si>
    <t>Evaluation</t>
  </si>
  <si>
    <t>Subtotal objective 5</t>
  </si>
  <si>
    <t>Cameroon</t>
  </si>
  <si>
    <t>Year 1 (2017)</t>
  </si>
  <si>
    <t>Year 2 (2018)</t>
  </si>
  <si>
    <t>Year 3 (2019)</t>
  </si>
  <si>
    <t>Cote d'Ivoire</t>
  </si>
  <si>
    <t>These indicative one year budget expansion figures were developed by Simon Bush, Timothy Finn and respective Sightsavers Country Directors.</t>
  </si>
  <si>
    <t>Population Targets:</t>
  </si>
  <si>
    <t>Population Target Schisto*</t>
  </si>
  <si>
    <t>Population Target STH*</t>
  </si>
  <si>
    <t>Population Target LF**</t>
  </si>
  <si>
    <t>Population Target oncho**</t>
  </si>
  <si>
    <t xml:space="preserve">Total additional treatments that could potentially be provided: 9.0 million. Would allow for full programmatic coverage in former Provincial Orientale, Kasongo CDTI project area. </t>
  </si>
  <si>
    <t>***Please note these are estimated figures and subject to change.</t>
  </si>
  <si>
    <t>Estimated one year Budget***</t>
  </si>
  <si>
    <t>Population at Risk Schisto</t>
  </si>
  <si>
    <t>Population at Risk STH</t>
  </si>
  <si>
    <t>Population at Risk LF</t>
  </si>
  <si>
    <t>Population at Risk Oncho</t>
  </si>
  <si>
    <t>Population Target for Oncho</t>
  </si>
  <si>
    <r>
      <rPr>
        <b/>
        <sz val="10"/>
        <color theme="1"/>
        <rFont val="Arial"/>
        <family val="2"/>
      </rPr>
      <t xml:space="preserve">Please note: </t>
    </r>
    <r>
      <rPr>
        <sz val="10"/>
        <color theme="1"/>
        <rFont val="Arial"/>
        <family val="2"/>
      </rPr>
      <t>Population and at risk populations were based on the 2008 Census inflated by 3% to 2016.</t>
    </r>
  </si>
  <si>
    <t xml:space="preserve">* Political stability is essential to operating in South Sudan. Recent events are cause for concern and will interrupt ongoing MDA for Oncho in Western Equatoria. We present this information to present the magnitude of disease endemicity in 3 of 10 states. These states are considered the most stable, easily accessible, and have had MDA expenience in the past. They are the ideal areas for a nascent integrated NTD control program. </t>
  </si>
  <si>
    <t>Behavior change communication strategy development workshop</t>
  </si>
  <si>
    <t>Exchanged at USD (595.27 XAF/1 USD)</t>
  </si>
  <si>
    <t>~ Sightsavers support to UFAR and Onchocerciasis programme</t>
  </si>
  <si>
    <t>~ Onchocerciasis Control/Elimination project</t>
  </si>
  <si>
    <t>Community Directed Treatment with Ivermectin, Northern Zone</t>
  </si>
  <si>
    <t>Including all Nigeria NTD individual projects and DFID UNITED project (detailed in document 10b)</t>
  </si>
  <si>
    <t>TOTAL</t>
  </si>
  <si>
    <t>Region</t>
  </si>
  <si>
    <t>Health district</t>
  </si>
  <si>
    <t>Lola</t>
  </si>
  <si>
    <t>Yomou</t>
  </si>
  <si>
    <t>Nzerekore</t>
  </si>
  <si>
    <t xml:space="preserve">Estimated Population </t>
  </si>
  <si>
    <t>Percentage prevalence of schistosomiasis %</t>
  </si>
  <si>
    <t>Percentage prevalence of STH %</t>
  </si>
  <si>
    <t>*Please note these are estimated figures and subject to change.</t>
  </si>
  <si>
    <t>Estimated one year Budget* (GBP£)</t>
  </si>
  <si>
    <t>Estimated one year Budget* (USD$)</t>
  </si>
  <si>
    <t>Total per year*</t>
  </si>
  <si>
    <t>**Please note these are estimated figures and subject to change.</t>
  </si>
  <si>
    <t>Estimated one year budget*</t>
  </si>
  <si>
    <t>WORODOUGOU-BERE</t>
  </si>
  <si>
    <t>Mankono</t>
  </si>
  <si>
    <t>Disease</t>
  </si>
  <si>
    <t>Remarks</t>
  </si>
  <si>
    <t>Schistosomiasis</t>
  </si>
  <si>
    <t>STH</t>
  </si>
  <si>
    <t>Total population of Guinea Bissau for reference</t>
  </si>
  <si>
    <t>Updated number of school aged children to be reached for treatment of each disease with scale up work</t>
  </si>
  <si>
    <t>Project name</t>
  </si>
  <si>
    <t>Activity detail</t>
  </si>
  <si>
    <t>Comment</t>
  </si>
  <si>
    <t>Guinea Bissau Schisto / STH scale up budget</t>
  </si>
  <si>
    <t>Capacity Building for teachers and healthworkers (training/retraining)</t>
  </si>
  <si>
    <t xml:space="preserve">Capacity Building for community drug distributors (training/retraining) </t>
  </si>
  <si>
    <t>Sentinel site surveys &amp; laboratory equipments for STH/Schisto</t>
  </si>
  <si>
    <t>Drug Collection from MOH Medical Store</t>
  </si>
  <si>
    <t>Mobilisation and Sensitization of Schools/communities, School Education Boards and Parents</t>
  </si>
  <si>
    <t>Production of Information, Education and Communication (IEC) Materials</t>
  </si>
  <si>
    <t>Monitoring, Supervision and Evaluation of the activities</t>
  </si>
  <si>
    <t>Production of Management Information System (MIS) forms/Photocopies</t>
  </si>
  <si>
    <t>Production of Measuring Sticks</t>
  </si>
  <si>
    <t>School/Community registers</t>
  </si>
  <si>
    <t>Management of  SE (Side-effets)</t>
  </si>
  <si>
    <t>Vehicle Running cost and office supplies</t>
  </si>
  <si>
    <t>Data Management</t>
  </si>
  <si>
    <t>Drug distribution (transport for CDD)</t>
  </si>
  <si>
    <t>Annual review and planning meeting of activities</t>
  </si>
  <si>
    <t>Activity - National Coordination &amp; Reporting</t>
  </si>
  <si>
    <t>Monitoring and Supervision</t>
  </si>
  <si>
    <t>Vehicle Purchase for National coordination</t>
  </si>
  <si>
    <t>Planned scale up of LF elimination activities to additional three regions in Guinea Bissau</t>
  </si>
  <si>
    <t>Number of School-aged children that could be targeted with additional funding</t>
  </si>
  <si>
    <t>LF is prevalent in all regions of Guinea Bissau. We received new support in 2016 from UK Aid Match to scale up our LF elimination work to cover eight of the country's 11 regions. 
For the remaining three regions, these costs include: staff costs, travel and transportation, equipment and supplies (including vehicles and office equipment), local office costs, monitoring and evaluation, training, mass drug distribution and IEC activities.</t>
  </si>
  <si>
    <t>Guinea Bissau - onchocerciasis &amp; LF project - scope for further support</t>
  </si>
  <si>
    <t>Cacheu</t>
  </si>
  <si>
    <t>Quinara</t>
  </si>
  <si>
    <t>Tombali</t>
  </si>
  <si>
    <t>LF Treatment target for remaining 3 regions, should additional funding become available</t>
  </si>
  <si>
    <t>$447,919</t>
  </si>
  <si>
    <r>
      <t xml:space="preserve">2016 planned NTD budget expenditure in GBP £
</t>
    </r>
    <r>
      <rPr>
        <i/>
        <sz val="10"/>
        <color theme="1"/>
        <rFont val="Arial"/>
        <family val="2"/>
      </rPr>
      <t xml:space="preserve">
*Please see documents 10b and 10c for further information on these figures. The column is presented in GBP to allow direct comparison with the two documents.</t>
    </r>
  </si>
  <si>
    <t xml:space="preserve">Guinea </t>
  </si>
  <si>
    <t xml:space="preserve">Existing NTD programmes
</t>
  </si>
  <si>
    <t xml:space="preserve">This document presents a snapshot overview of the countries in which Sightsavers operates NTD programmes, where we would like to scale up or introduce deworming activity into our integrated NTD programmes. </t>
  </si>
  <si>
    <t>~ Guinea Bissau Community Directed Treatment with Ivermectin
~ Trachoma Elimination programme</t>
  </si>
  <si>
    <t>~ NTDs (Mectizan and others) - South West Region 1, South West region 2, North West and West (4 projects)
~ North and Far North trachoma elimination projects</t>
  </si>
  <si>
    <t>The tables includes a snapshot of Sightsavers existing NTD programme activity in each country, the deworming activities that could be added with the support of additional funding, and the approximate amount of funding that would be required.</t>
  </si>
  <si>
    <t>~ Three active programmes supporting MDA for oncho and LF
~ Trachoma Elimination Project</t>
  </si>
  <si>
    <r>
      <t xml:space="preserve">Indicative one year budget to add new deworming activity to existing NTD programmes* in USD $
</t>
    </r>
    <r>
      <rPr>
        <i/>
        <sz val="10"/>
        <color theme="1"/>
        <rFont val="Arial"/>
        <family val="2"/>
      </rPr>
      <t>*Please note these are estimated figures and subject to change.</t>
    </r>
  </si>
  <si>
    <r>
      <t xml:space="preserve">Brief description of basis for deworming scale up potential for each integrated programme
</t>
    </r>
    <r>
      <rPr>
        <b/>
        <sz val="10"/>
        <color rgb="FFFF0000"/>
        <rFont val="Arial"/>
        <family val="2"/>
      </rPr>
      <t xml:space="preserve">
</t>
    </r>
  </si>
  <si>
    <t>1. Please see 'Q9.2 Notes to accompany spreadsheet' for a full description. 
2. Please see the worksheet tab 'South Sudan' for breakdown of indicative one year budget figures by state, and the year they pertain to.</t>
  </si>
  <si>
    <r>
      <rPr>
        <sz val="10"/>
        <rFont val="Arial"/>
        <family val="2"/>
      </rPr>
      <t xml:space="preserve">1. Please see 'Q9.2 Notes to accompany spreadsheet' for a full description. Activities are inclusive of expansion of STH MDA in 1 district. </t>
    </r>
    <r>
      <rPr>
        <sz val="10"/>
        <color rgb="FFFF0000"/>
        <rFont val="Arial"/>
        <family val="2"/>
      </rPr>
      <t xml:space="preserve">
</t>
    </r>
    <r>
      <rPr>
        <sz val="10"/>
        <rFont val="Arial"/>
        <family val="2"/>
      </rPr>
      <t xml:space="preserve">
2. Please see the worksheet tab 'Cote d'Ivoire' for breakdown of indicative one year budget figure.</t>
    </r>
  </si>
  <si>
    <r>
      <rPr>
        <sz val="10"/>
        <rFont val="Arial"/>
        <family val="2"/>
      </rPr>
      <t>1. Please see Q9.2 'Notes to accompany spreadsheet' for a full description. (This contains information updated from Sightsavers Phase 1 submission to GiveWell, document Q1e. Guinea Bissau budget plans)</t>
    </r>
    <r>
      <rPr>
        <i/>
        <sz val="10"/>
        <rFont val="Arial"/>
        <family val="2"/>
      </rPr>
      <t xml:space="preserve">
</t>
    </r>
    <r>
      <rPr>
        <sz val="10"/>
        <rFont val="Arial"/>
        <family val="2"/>
      </rPr>
      <t>2. Please see the worksheet tab 'Guinea Bissau' for updated budgetary information and updated output information.</t>
    </r>
  </si>
  <si>
    <t>1. Please See Sightsavers Phase 1 submission to GiveWell, document Q1e. Nigeria budget plans for scale up opportunity details.
2. Figure in column E based on example of 2016 estimated costs featured in Sightsavers Phase 1 submission (to scale up in 4 states and begin work in Benue state).
3. Please see Sightsavers document submission Q.16.1 for an update on our NTD programme and funding in Nigeria.</t>
  </si>
  <si>
    <t>1. Please see 'Q9.2 Notes to accompany spreadsheet' for a full description. This figure is inclusive of a Behaviour change communication research and implementation project to complement existing integrated MDA programmes in 3 regions. The tab also includes budgetary estimate for two further years.
2. Please see the worksheet tab 'Cameroon' for breakdown of indicative one year budget figure.
3. Please see Sightsavers document submission Q.16.1 for a full description of our programme in Cameroon</t>
  </si>
  <si>
    <t>1. Please see 'Q9.2 Notes to accompany spreadsheet' for a full description. Activities are inclusive of expansion of schisto MDA in 3 districts. 
2. Please see the worksheet tab 'Guinea' for breakdown of indicative one year budget figure.</t>
  </si>
  <si>
    <t>DRC - Summary of opportunity for additional deworming treatment provision by area</t>
  </si>
  <si>
    <t>** LF/Oncho</t>
  </si>
  <si>
    <t>The END Fund currently supports Oncho/LF in all 10 health zones and USAID supports 1 health zone for Schisto/STH. 9 health zones could benefit from Schisto/STH expansion. This would allow full integration in project area. Average Schisto/STH prevalence = 38.4/49.5%</t>
  </si>
  <si>
    <t xml:space="preserve">Sightsavers supports Oncho/LF in 10/13 health zones, 3 health zones are non-endemic for Oncho/LF. Schisto in 4 health zones, STH in 1 health zone. Schisto prevalence range 13-92%, STH 23%. </t>
  </si>
  <si>
    <t xml:space="preserve">No support in Project Area. 23 health zones, of qualified for MDA: 23 Oncho, 18 LF, 11 Schisto, 5 STH. Avg Schisto/STH prevalence 38%/29%. </t>
  </si>
  <si>
    <t xml:space="preserve">No support in Project Area. 24 health zones, of qualified for MDA: 24 Oncho, 15 LF, 9 Schisto, 9 STH. Avg Schisto/STH prevalence 30%/43%. </t>
  </si>
  <si>
    <t xml:space="preserve">Calculated for school aged children or 35% of population. The Ministry of Health of DRC recommends treating 75% of total population given elevated schisto prevalence in health zones. </t>
  </si>
  <si>
    <t xml:space="preserve">Calculated for school aged children or 35% of population. The Ministry of Health of DRC recommends treating 75% of total population given elevated  STH prevalence in health zones. </t>
  </si>
  <si>
    <t>1. Please see 'Q9.2 Notes to accompany spreadsheet' for a full description. 
2. Please see the worksheet tab 'DRC' for breakdown of indicative one year budget figure.
NB. Please note the existing planned 2016 oncho and LF project budget (covering Ituri Nord) is due to increase due to securing funding from the UK Government DFID Aid Match scheme. Information about this can be found in document 16.1.</t>
  </si>
  <si>
    <t>Guinea Bissau - Updated  Summary of opportunity for additional deworming treatment provision by area</t>
  </si>
  <si>
    <t>Budget for Additional Upscale deworming in Guinea Bissau (for the inclusion of STH /schisto and 80-100% elimination rate)</t>
  </si>
  <si>
    <t>Drug distribution (snack for children for PZQ taking)*</t>
  </si>
  <si>
    <r>
      <rPr>
        <sz val="10"/>
        <color indexed="8"/>
        <rFont val="Arial"/>
        <family val="2"/>
      </rPr>
      <t xml:space="preserve">Sightsavers DFID UK Aid Match Project will support the treatment of oncho and LF in 8 of Guinea Bissau's 11 regions: Bafata, Gabu, Bijagos, Oio, Farim, Bissau, Biombo and Bolama.  It should be noted that treatment used for LF will also treat STH during the MDA in the intervention regions. Five of the regions would need a second round of STH treatment due to high STH prevalence in accordance with WHO guidelines. Three further regions in the country - Quinara, Cacheu and Tombali are not covered by the UK Aid Match project - and full funding for these regions would be required.
</t>
    </r>
    <r>
      <rPr>
        <sz val="11"/>
        <color theme="1"/>
        <rFont val="Calibri"/>
        <family val="2"/>
        <scheme val="minor"/>
      </rPr>
      <t/>
    </r>
  </si>
  <si>
    <t>South Sudan - Summary of opportunity for additional deworming treatment provision by area in Greater Equatoria</t>
  </si>
  <si>
    <t>MDA for trachoma has been undertaken by The Carter Center since 2007 in four out of eight counties. LF is endemic in all areas and would overlap with STH and Schisto where co-endemic. Should funding be supported by GiveWell, target could be for expansion in early 2018. The one year budget figure relates to 2018.</t>
  </si>
  <si>
    <t>House to house MDA was done in 2011 in four out of six counties reaching approximately 220 - 300,000 people for Schisto/STH for the first ever combined NTD MDA campaign in South Sudan. Costs were high due to the need to implement the project in eight weeks with the average cost per treatment at $2 and no local partner. Juba presents a challenge due to urban setting. Should funding be supported by GiveWell, target for could be for expansion in late 2017/early 2018. The one year budget figure relates to 2017.</t>
  </si>
  <si>
    <t>Oncho is currently supported by Sightsavers with MDA planned for 2016 in all counties. Only three out of ten counties have been mapped to date for LF, Schisto and STH. Minor additional costs to add Schisto and LF/STH as needed. Mapping should be completed by 2017. Treatment is possible year-round and should funding become available, this could be considered priority area for expansion. The one year budget figure relates to 2017.</t>
  </si>
  <si>
    <t xml:space="preserve">Disease endemicity is very high with little NTD control. Treatments for STH and Schisto are recommended for all population groups. </t>
  </si>
  <si>
    <t>Indicative three year budget</t>
  </si>
  <si>
    <t xml:space="preserve">Cameroon - Summary of opportunity for Deworming behaviour change communication research and implementation project to complement existing integrated MDA program in 3 regions
</t>
  </si>
  <si>
    <t>Consultant for formative study</t>
  </si>
  <si>
    <t>Objective 1: Carry out research to identify knowledge, attitudinal and behavioural barriers and possible solutions</t>
  </si>
  <si>
    <t>Objective 2: Develop a comprehensive evidence based Behavior Change Communication strategic document</t>
  </si>
  <si>
    <t>Objective 3: Develop and produce Behavior Change Communication materials</t>
  </si>
  <si>
    <t>Radio broadcasts</t>
  </si>
  <si>
    <t>School sensitisation campaigns (Health talks, Quizzes, competitions, etc)</t>
  </si>
  <si>
    <t>Objective 4: Implement Behavior Change Communication activities</t>
  </si>
  <si>
    <t>Guinea -  Summary of opportunity for additional deworming treatment provision by area</t>
  </si>
  <si>
    <t>Estimated one year Budget* (GBP £)</t>
  </si>
  <si>
    <t>Estimated one year Budget* (USD $)</t>
  </si>
  <si>
    <t>Cote d'Ivoire -  Summary of opportunity for additional deworming treatment provision by area</t>
  </si>
  <si>
    <t xml:space="preserve">Q9.1 Wish List highlighting capacity for additional funding for integration of deworming activities </t>
  </si>
  <si>
    <t>These two budget lines are to support monitoring and supervision by the central level</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</si>
</sst>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_-* #,##0.00_-;\-* #,##0.00_-;_-* &quot;-&quot;??_-;_-@_-"/>
    <numFmt numFmtId="165" formatCode="&quot;£&quot;#,##0"/>
    <numFmt numFmtId="166" formatCode="_-* #,##0.00_-;\-* #,##0.00_-;_-* \-??_-;_-@_-"/>
    <numFmt numFmtId="167" formatCode="_-* #,##0\ _€_-;\-* #,##0\ _€_-;_-* &quot;-&quot;??\ _€_-;_-@_-"/>
    <numFmt numFmtId="168" formatCode="[$$-409]#,##0"/>
    <numFmt numFmtId="169" formatCode="#,##0.0"/>
    <numFmt numFmtId="170" formatCode="_-* #,##0_-;\-* #,##0_-;_-* &quot;-&quot;??_-;_-@_-"/>
    <numFmt numFmtId="171" formatCode="_(* #,##0_);_(* \(#,##0\);_(* &quot;-&quot;??_);_(@_)"/>
  </numFmts>
  <fonts count="18" x14ac:knownFonts="1">
    <font>
      <sz val="11"/>
      <color theme="1"/>
      <name val="Calibri"/>
      <family val="2"/>
      <scheme val="minor"/>
    </font>
    <font>
      <sz val="11"/>
      <color theme="1"/>
      <name val="Calibri"/>
      <family val="2"/>
      <scheme val="minor"/>
    </font>
    <font>
      <sz val="10"/>
      <name val="Arial"/>
      <family val="2"/>
    </font>
    <font>
      <sz val="12"/>
      <color theme="1"/>
      <name val="Arial"/>
      <family val="2"/>
    </font>
    <font>
      <b/>
      <sz val="10"/>
      <color theme="1"/>
      <name val="Arial"/>
      <family val="2"/>
    </font>
    <font>
      <sz val="10"/>
      <color theme="1"/>
      <name val="Arial"/>
      <family val="2"/>
    </font>
    <font>
      <sz val="8"/>
      <name val="MS Sans Serif"/>
      <family val="2"/>
      <charset val="1"/>
    </font>
    <font>
      <sz val="11"/>
      <color indexed="8"/>
      <name val="Calibri"/>
      <family val="2"/>
    </font>
    <font>
      <u/>
      <sz val="10"/>
      <color indexed="12"/>
      <name val="Arial"/>
      <family val="2"/>
    </font>
    <font>
      <i/>
      <sz val="10"/>
      <color theme="1"/>
      <name val="Arial"/>
      <family val="2"/>
    </font>
    <font>
      <sz val="10"/>
      <color rgb="FFFF0000"/>
      <name val="Arial"/>
      <family val="2"/>
    </font>
    <font>
      <b/>
      <sz val="10"/>
      <color rgb="FFFF0000"/>
      <name val="Arial"/>
      <family val="2"/>
    </font>
    <font>
      <b/>
      <sz val="10"/>
      <name val="Arial"/>
      <family val="2"/>
    </font>
    <font>
      <i/>
      <sz val="10"/>
      <name val="Arial"/>
      <family val="2"/>
    </font>
    <font>
      <b/>
      <i/>
      <sz val="10"/>
      <color rgb="FFFF0000"/>
      <name val="Arial"/>
      <family val="2"/>
    </font>
    <font>
      <sz val="10"/>
      <color indexed="8"/>
      <name val="Arial"/>
      <family val="2"/>
    </font>
    <font>
      <b/>
      <sz val="10"/>
      <color rgb="FF000000"/>
      <name val="Arial"/>
      <family val="2"/>
    </font>
    <font>
      <sz val="10"/>
      <color rgb="FF000000"/>
      <name val="Arial"/>
      <family val="2"/>
    </font>
  </fonts>
  <fills count="8">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4BD97"/>
        <bgColor rgb="FF000000"/>
      </patternFill>
    </fill>
    <fill>
      <patternFill patternType="solid">
        <fgColor theme="2" tint="-0.249977111117893"/>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top style="thin">
        <color auto="1"/>
      </top>
      <bottom style="double">
        <color auto="1"/>
      </bottom>
      <diagonal/>
    </border>
    <border>
      <left/>
      <right style="thin">
        <color auto="1"/>
      </right>
      <top/>
      <bottom style="thin">
        <color auto="1"/>
      </bottom>
      <diagonal/>
    </border>
  </borders>
  <cellStyleXfs count="32">
    <xf numFmtId="0" fontId="0" fillId="0" borderId="0"/>
    <xf numFmtId="0" fontId="3" fillId="0" borderId="0"/>
    <xf numFmtId="164" fontId="3" fillId="0" borderId="0" applyFont="0" applyFill="0" applyBorder="0" applyAlignment="0" applyProtection="0"/>
    <xf numFmtId="166" fontId="6" fillId="0" borderId="0" applyFill="0" applyBorder="0">
      <alignment vertical="top" wrapText="1"/>
      <protection locked="0"/>
    </xf>
    <xf numFmtId="164" fontId="7" fillId="0" borderId="0" applyFont="0" applyFill="0" applyBorder="0" applyAlignment="0" applyProtection="0"/>
    <xf numFmtId="164" fontId="2"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2" fillId="0" borderId="0" applyFont="0" applyFill="0" applyBorder="0" applyAlignment="0" applyProtection="0"/>
    <xf numFmtId="164" fontId="7" fillId="0" borderId="0" applyFont="0" applyFill="0" applyBorder="0" applyAlignment="0" applyProtection="0"/>
    <xf numFmtId="0" fontId="8" fillId="0" borderId="0" applyNumberFormat="0" applyFill="0" applyBorder="0" applyAlignment="0" applyProtection="0">
      <alignment vertical="top"/>
      <protection locked="0"/>
    </xf>
    <xf numFmtId="0" fontId="7" fillId="0" borderId="0"/>
    <xf numFmtId="0" fontId="1" fillId="0" borderId="0"/>
    <xf numFmtId="0" fontId="2" fillId="0" borderId="0"/>
    <xf numFmtId="0" fontId="2" fillId="0" borderId="0"/>
    <xf numFmtId="0" fontId="2" fillId="0" borderId="0"/>
    <xf numFmtId="0" fontId="7" fillId="0" borderId="0"/>
    <xf numFmtId="0" fontId="1" fillId="0" borderId="0"/>
    <xf numFmtId="9" fontId="2" fillId="0" borderId="0" applyFont="0" applyFill="0" applyBorder="0" applyAlignment="0" applyProtection="0"/>
    <xf numFmtId="9" fontId="2" fillId="0" borderId="0" applyFont="0" applyFill="0" applyBorder="0" applyAlignment="0" applyProtection="0"/>
    <xf numFmtId="9" fontId="7" fillId="0" borderId="0" applyFont="0" applyFill="0" applyBorder="0" applyAlignment="0" applyProtection="0"/>
    <xf numFmtId="9" fontId="2" fillId="0" borderId="0" applyFont="0" applyFill="0" applyBorder="0" applyAlignment="0" applyProtection="0"/>
    <xf numFmtId="9" fontId="7" fillId="0" borderId="0" applyFont="0" applyFill="0" applyBorder="0" applyAlignment="0" applyProtection="0"/>
    <xf numFmtId="9" fontId="2"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74">
    <xf numFmtId="0" fontId="0" fillId="0" borderId="0" xfId="0"/>
    <xf numFmtId="0" fontId="5" fillId="0" borderId="0" xfId="0" applyFont="1" applyAlignment="1">
      <alignment horizontal="left" vertical="top"/>
    </xf>
    <xf numFmtId="165" fontId="5" fillId="0" borderId="0" xfId="0" applyNumberFormat="1" applyFont="1" applyAlignment="1">
      <alignment horizontal="right" vertical="top"/>
    </xf>
    <xf numFmtId="0" fontId="5" fillId="0" borderId="0" xfId="0" applyFont="1" applyAlignment="1">
      <alignment horizontal="left" vertical="top" wrapText="1"/>
    </xf>
    <xf numFmtId="0" fontId="4" fillId="0" borderId="0" xfId="0" applyFont="1" applyAlignment="1">
      <alignment vertical="top"/>
    </xf>
    <xf numFmtId="0" fontId="4" fillId="0" borderId="1" xfId="0" applyFont="1" applyBorder="1" applyAlignment="1">
      <alignment vertical="top" wrapText="1"/>
    </xf>
    <xf numFmtId="165" fontId="4" fillId="0" borderId="1" xfId="0" applyNumberFormat="1" applyFont="1" applyBorder="1" applyAlignment="1">
      <alignment vertical="top" wrapText="1"/>
    </xf>
    <xf numFmtId="0" fontId="5" fillId="0" borderId="1" xfId="0" applyFont="1" applyBorder="1" applyAlignment="1">
      <alignment horizontal="left" vertical="top" wrapText="1"/>
    </xf>
    <xf numFmtId="165" fontId="5" fillId="0" borderId="1" xfId="0" applyNumberFormat="1" applyFont="1" applyBorder="1" applyAlignment="1">
      <alignment horizontal="right" vertical="top"/>
    </xf>
    <xf numFmtId="0" fontId="10" fillId="0" borderId="0" xfId="0" applyFont="1" applyAlignment="1">
      <alignment vertical="top" wrapText="1"/>
    </xf>
    <xf numFmtId="0" fontId="10" fillId="0" borderId="0" xfId="0" applyFont="1" applyAlignment="1">
      <alignment horizontal="left" vertical="top"/>
    </xf>
    <xf numFmtId="165" fontId="5" fillId="0" borderId="1" xfId="0" applyNumberFormat="1" applyFont="1" applyBorder="1" applyAlignment="1">
      <alignment horizontal="right" vertical="top" wrapText="1"/>
    </xf>
    <xf numFmtId="168" fontId="5" fillId="0" borderId="0" xfId="0" applyNumberFormat="1" applyFont="1" applyAlignment="1">
      <alignment horizontal="left" vertical="top" wrapText="1"/>
    </xf>
    <xf numFmtId="168" fontId="4" fillId="0" borderId="1" xfId="0" applyNumberFormat="1" applyFont="1" applyBorder="1" applyAlignment="1">
      <alignment vertical="top" wrapText="1"/>
    </xf>
    <xf numFmtId="168" fontId="5" fillId="0" borderId="1" xfId="30" applyNumberFormat="1" applyFont="1" applyBorder="1" applyAlignment="1">
      <alignment horizontal="right" vertical="top"/>
    </xf>
    <xf numFmtId="0" fontId="12" fillId="0" borderId="0" xfId="0" quotePrefix="1" applyFont="1" applyAlignment="1">
      <alignment horizontal="left" vertical="top"/>
    </xf>
    <xf numFmtId="0" fontId="2" fillId="0" borderId="0" xfId="0" applyFont="1" applyAlignment="1">
      <alignment horizontal="left" vertical="top" wrapText="1"/>
    </xf>
    <xf numFmtId="165" fontId="2" fillId="0" borderId="0" xfId="0" applyNumberFormat="1" applyFont="1" applyAlignment="1">
      <alignment horizontal="right" vertical="top"/>
    </xf>
    <xf numFmtId="168" fontId="2" fillId="0" borderId="0" xfId="0" applyNumberFormat="1" applyFont="1" applyAlignment="1">
      <alignment horizontal="left" vertical="top" wrapText="1"/>
    </xf>
    <xf numFmtId="0" fontId="2" fillId="0" borderId="0" xfId="0" applyFont="1" applyAlignment="1">
      <alignment horizontal="left" vertical="top"/>
    </xf>
    <xf numFmtId="165" fontId="5" fillId="0" borderId="1" xfId="30" applyNumberFormat="1" applyFont="1" applyBorder="1" applyAlignment="1">
      <alignment horizontal="right" vertical="top"/>
    </xf>
    <xf numFmtId="0" fontId="5" fillId="0" borderId="0" xfId="0" applyFont="1"/>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1" xfId="0" applyFont="1" applyFill="1" applyBorder="1" applyAlignment="1">
      <alignment vertical="center"/>
    </xf>
    <xf numFmtId="0" fontId="4" fillId="2" borderId="1" xfId="0" applyFont="1" applyFill="1" applyBorder="1" applyAlignment="1">
      <alignment vertical="center"/>
    </xf>
    <xf numFmtId="0" fontId="5" fillId="0" borderId="0" xfId="0" applyFont="1" applyAlignment="1">
      <alignment wrapText="1"/>
    </xf>
    <xf numFmtId="167" fontId="5" fillId="2" borderId="1" xfId="29" applyNumberFormat="1" applyFont="1" applyFill="1" applyBorder="1" applyAlignment="1">
      <alignment horizontal="right" vertical="center" wrapText="1"/>
    </xf>
    <xf numFmtId="0" fontId="5" fillId="2" borderId="1" xfId="0" applyFont="1" applyFill="1" applyBorder="1" applyAlignment="1">
      <alignment vertical="top" wrapText="1"/>
    </xf>
    <xf numFmtId="0" fontId="5" fillId="2" borderId="0" xfId="0" applyFont="1" applyFill="1" applyAlignment="1">
      <alignment horizontal="left" vertical="top"/>
    </xf>
    <xf numFmtId="0" fontId="5" fillId="2" borderId="0" xfId="0" applyFont="1" applyFill="1" applyAlignment="1">
      <alignment horizontal="left" vertical="top" wrapText="1"/>
    </xf>
    <xf numFmtId="0" fontId="4" fillId="2" borderId="0" xfId="0" applyFont="1" applyFill="1" applyAlignment="1">
      <alignment horizontal="left" vertical="top"/>
    </xf>
    <xf numFmtId="0" fontId="4" fillId="2"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2" borderId="1" xfId="0" applyFont="1" applyFill="1" applyBorder="1" applyAlignment="1">
      <alignment horizontal="left" vertical="top"/>
    </xf>
    <xf numFmtId="0" fontId="4" fillId="2" borderId="1" xfId="0" applyFont="1" applyFill="1" applyBorder="1" applyAlignment="1">
      <alignment horizontal="left" vertical="top"/>
    </xf>
    <xf numFmtId="167" fontId="5" fillId="2" borderId="1" xfId="29" applyNumberFormat="1" applyFont="1" applyFill="1" applyBorder="1" applyAlignment="1">
      <alignment horizontal="right" vertical="top" wrapText="1"/>
    </xf>
    <xf numFmtId="167" fontId="4" fillId="2" borderId="1" xfId="29" applyNumberFormat="1" applyFont="1" applyFill="1" applyBorder="1" applyAlignment="1">
      <alignment horizontal="right" vertical="top" wrapText="1"/>
    </xf>
    <xf numFmtId="168" fontId="5" fillId="2" borderId="1" xfId="29" applyNumberFormat="1" applyFont="1" applyFill="1" applyBorder="1" applyAlignment="1">
      <alignment horizontal="right" vertical="top" wrapText="1"/>
    </xf>
    <xf numFmtId="168" fontId="4" fillId="2" borderId="1" xfId="29" applyNumberFormat="1" applyFont="1" applyFill="1" applyBorder="1" applyAlignment="1">
      <alignment horizontal="right" vertical="top" wrapText="1"/>
    </xf>
    <xf numFmtId="0" fontId="4" fillId="0" borderId="0" xfId="0" applyFont="1"/>
    <xf numFmtId="0" fontId="5" fillId="0" borderId="0" xfId="0" applyFont="1" applyAlignment="1">
      <alignment horizontal="center" vertical="center"/>
    </xf>
    <xf numFmtId="0" fontId="4" fillId="2" borderId="1" xfId="0" applyFont="1" applyFill="1" applyBorder="1" applyAlignment="1">
      <alignment horizontal="left" vertical="center" wrapText="1"/>
    </xf>
    <xf numFmtId="0" fontId="4" fillId="0" borderId="1" xfId="0" applyFont="1" applyBorder="1" applyAlignment="1">
      <alignment horizontal="left" vertical="center" wrapText="1"/>
    </xf>
    <xf numFmtId="1" fontId="5" fillId="2" borderId="1" xfId="29" applyNumberFormat="1" applyFont="1" applyFill="1" applyBorder="1" applyAlignment="1">
      <alignment horizontal="right" vertical="center" wrapText="1"/>
    </xf>
    <xf numFmtId="0" fontId="5" fillId="0" borderId="1" xfId="0" applyFont="1" applyBorder="1" applyAlignment="1">
      <alignment vertical="center" wrapText="1"/>
    </xf>
    <xf numFmtId="0" fontId="5" fillId="2" borderId="1" xfId="0" applyFont="1" applyFill="1" applyBorder="1" applyAlignment="1">
      <alignment horizontal="center" vertical="center"/>
    </xf>
    <xf numFmtId="0" fontId="5" fillId="0" borderId="1" xfId="0" applyFont="1" applyBorder="1" applyAlignment="1">
      <alignment horizontal="left" vertical="center" wrapText="1"/>
    </xf>
    <xf numFmtId="167" fontId="4" fillId="2" borderId="1" xfId="29" applyNumberFormat="1" applyFont="1" applyFill="1" applyBorder="1" applyAlignment="1">
      <alignment horizontal="right" vertical="center" wrapText="1"/>
    </xf>
    <xf numFmtId="0" fontId="5" fillId="0" borderId="0" xfId="0" applyFont="1" applyBorder="1"/>
    <xf numFmtId="167" fontId="5" fillId="2" borderId="0" xfId="29" applyNumberFormat="1" applyFont="1" applyFill="1" applyBorder="1" applyAlignment="1">
      <alignment vertical="center" wrapText="1"/>
    </xf>
    <xf numFmtId="43" fontId="5" fillId="0" borderId="0" xfId="0" applyNumberFormat="1" applyFont="1"/>
    <xf numFmtId="167" fontId="5" fillId="2" borderId="0" xfId="29" applyNumberFormat="1" applyFont="1" applyFill="1" applyBorder="1" applyAlignment="1">
      <alignment vertical="center"/>
    </xf>
    <xf numFmtId="168" fontId="5" fillId="0" borderId="1" xfId="29" applyNumberFormat="1" applyFont="1" applyBorder="1" applyAlignment="1">
      <alignment horizontal="right" vertical="center" wrapText="1"/>
    </xf>
    <xf numFmtId="168" fontId="4" fillId="2" borderId="1" xfId="29" applyNumberFormat="1" applyFont="1" applyFill="1" applyBorder="1" applyAlignment="1">
      <alignment horizontal="right" vertical="center" wrapText="1"/>
    </xf>
    <xf numFmtId="0" fontId="4" fillId="0" borderId="1" xfId="0" applyFont="1" applyBorder="1" applyAlignment="1">
      <alignment vertical="top"/>
    </xf>
    <xf numFmtId="0" fontId="5" fillId="0" borderId="1" xfId="0" applyFont="1" applyBorder="1" applyAlignment="1">
      <alignment horizontal="left" vertical="top"/>
    </xf>
    <xf numFmtId="0" fontId="4" fillId="2" borderId="0" xfId="0" applyFont="1" applyFill="1" applyAlignment="1"/>
    <xf numFmtId="0" fontId="4" fillId="2" borderId="1" xfId="0" applyFont="1" applyFill="1" applyBorder="1" applyAlignment="1">
      <alignment wrapText="1"/>
    </xf>
    <xf numFmtId="0" fontId="5" fillId="2" borderId="1" xfId="0" applyFont="1" applyFill="1" applyBorder="1" applyAlignment="1">
      <alignment wrapText="1"/>
    </xf>
    <xf numFmtId="0" fontId="4" fillId="2" borderId="1" xfId="0" applyFont="1" applyFill="1" applyBorder="1" applyAlignment="1"/>
    <xf numFmtId="168" fontId="5" fillId="2" borderId="0" xfId="0" applyNumberFormat="1" applyFont="1" applyFill="1"/>
    <xf numFmtId="168" fontId="4" fillId="2" borderId="1" xfId="29" applyNumberFormat="1" applyFont="1" applyFill="1" applyBorder="1"/>
    <xf numFmtId="168" fontId="5" fillId="2" borderId="1" xfId="29" applyNumberFormat="1" applyFont="1" applyFill="1" applyBorder="1"/>
    <xf numFmtId="168" fontId="5" fillId="2" borderId="1" xfId="29" applyNumberFormat="1" applyFont="1" applyFill="1" applyBorder="1" applyAlignment="1">
      <alignment vertical="top"/>
    </xf>
    <xf numFmtId="168" fontId="4" fillId="3" borderId="1" xfId="29" applyNumberFormat="1" applyFont="1" applyFill="1" applyBorder="1"/>
    <xf numFmtId="168" fontId="5" fillId="0" borderId="0" xfId="0" applyNumberFormat="1" applyFont="1"/>
    <xf numFmtId="0" fontId="9" fillId="2" borderId="1" xfId="0" applyFont="1" applyFill="1" applyBorder="1" applyAlignment="1">
      <alignment wrapText="1"/>
    </xf>
    <xf numFmtId="0" fontId="4" fillId="2" borderId="0" xfId="0" applyFont="1" applyFill="1" applyAlignment="1">
      <alignment wrapText="1"/>
    </xf>
    <xf numFmtId="0" fontId="10" fillId="0" borderId="1" xfId="0" applyFont="1" applyBorder="1" applyAlignment="1">
      <alignment horizontal="left" vertical="top" wrapText="1"/>
    </xf>
    <xf numFmtId="0" fontId="4" fillId="0" borderId="1" xfId="0" applyFont="1" applyBorder="1" applyAlignment="1">
      <alignment horizontal="left" vertical="top" wrapText="1"/>
    </xf>
    <xf numFmtId="168" fontId="4" fillId="0" borderId="1" xfId="0" applyNumberFormat="1" applyFont="1" applyBorder="1" applyAlignment="1">
      <alignment horizontal="right" vertical="top" wrapText="1"/>
    </xf>
    <xf numFmtId="165" fontId="4" fillId="0" borderId="1" xfId="0" applyNumberFormat="1" applyFont="1" applyBorder="1" applyAlignment="1">
      <alignment horizontal="right" vertical="top"/>
    </xf>
    <xf numFmtId="0" fontId="14" fillId="0" borderId="0" xfId="0" applyFont="1" applyAlignment="1">
      <alignment horizontal="left" vertical="top"/>
    </xf>
    <xf numFmtId="168" fontId="2" fillId="0" borderId="1" xfId="0" applyNumberFormat="1" applyFont="1" applyBorder="1" applyAlignment="1">
      <alignment horizontal="right" vertical="top" wrapText="1"/>
    </xf>
    <xf numFmtId="0" fontId="2" fillId="0" borderId="1" xfId="0" applyFont="1" applyBorder="1" applyAlignment="1">
      <alignment vertical="top" wrapText="1"/>
    </xf>
    <xf numFmtId="0" fontId="13" fillId="0" borderId="0" xfId="0" applyFont="1"/>
    <xf numFmtId="0" fontId="2" fillId="0" borderId="0" xfId="0" applyFont="1"/>
    <xf numFmtId="0" fontId="12" fillId="0" borderId="0" xfId="0" applyFont="1"/>
    <xf numFmtId="0" fontId="12" fillId="0" borderId="1" xfId="0" applyFont="1" applyBorder="1" applyAlignment="1">
      <alignment vertical="top"/>
    </xf>
    <xf numFmtId="0" fontId="2" fillId="0" borderId="1" xfId="0" applyFont="1" applyBorder="1"/>
    <xf numFmtId="170" fontId="5" fillId="0" borderId="2" xfId="29" applyNumberFormat="1" applyFont="1" applyBorder="1" applyAlignment="1">
      <alignment horizontal="center"/>
    </xf>
    <xf numFmtId="0" fontId="5" fillId="0" borderId="1" xfId="0" applyFont="1" applyBorder="1" applyAlignment="1">
      <alignment horizontal="center"/>
    </xf>
    <xf numFmtId="169" fontId="5" fillId="0" borderId="1" xfId="31" applyNumberFormat="1" applyFont="1" applyBorder="1" applyAlignment="1">
      <alignment horizontal="center"/>
    </xf>
    <xf numFmtId="0" fontId="5" fillId="0" borderId="0" xfId="0" applyFont="1" applyAlignment="1"/>
    <xf numFmtId="170" fontId="5" fillId="0" borderId="1" xfId="29" applyNumberFormat="1" applyFont="1" applyBorder="1" applyAlignment="1">
      <alignment horizontal="center"/>
    </xf>
    <xf numFmtId="0" fontId="12" fillId="0" borderId="1" xfId="0" applyFont="1" applyBorder="1"/>
    <xf numFmtId="165" fontId="5" fillId="0" borderId="3" xfId="29" applyNumberFormat="1" applyFont="1" applyBorder="1"/>
    <xf numFmtId="168" fontId="5" fillId="0" borderId="3" xfId="29" applyNumberFormat="1" applyFont="1" applyBorder="1"/>
    <xf numFmtId="165" fontId="5" fillId="0" borderId="1" xfId="29" applyNumberFormat="1" applyFont="1" applyBorder="1"/>
    <xf numFmtId="168" fontId="5" fillId="0" borderId="1" xfId="29" applyNumberFormat="1" applyFont="1" applyBorder="1"/>
    <xf numFmtId="0" fontId="5" fillId="0" borderId="1" xfId="0" applyFont="1" applyBorder="1"/>
    <xf numFmtId="168" fontId="2" fillId="0" borderId="1" xfId="0" applyNumberFormat="1" applyFont="1" applyBorder="1" applyAlignment="1">
      <alignment horizontal="right" vertical="top"/>
    </xf>
    <xf numFmtId="0" fontId="4" fillId="4" borderId="1" xfId="0" applyFont="1" applyFill="1" applyBorder="1"/>
    <xf numFmtId="0" fontId="5" fillId="0" borderId="1" xfId="0" applyFont="1" applyFill="1" applyBorder="1" applyAlignment="1">
      <alignment horizontal="left" vertical="top" wrapText="1"/>
    </xf>
    <xf numFmtId="0" fontId="4" fillId="4" borderId="1" xfId="0" applyFont="1" applyFill="1" applyBorder="1" applyAlignment="1">
      <alignment horizontal="center" vertical="top"/>
    </xf>
    <xf numFmtId="0" fontId="4" fillId="4" borderId="1" xfId="0" applyFont="1" applyFill="1" applyBorder="1" applyAlignment="1">
      <alignment horizontal="left" vertical="top"/>
    </xf>
    <xf numFmtId="0" fontId="4" fillId="4" borderId="1" xfId="0" applyFont="1" applyFill="1" applyBorder="1" applyAlignment="1">
      <alignment horizontal="left" vertical="top" wrapText="1"/>
    </xf>
    <xf numFmtId="0" fontId="5" fillId="4" borderId="1" xfId="0" applyFont="1" applyFill="1" applyBorder="1" applyAlignment="1">
      <alignment horizontal="left" vertical="top"/>
    </xf>
    <xf numFmtId="0" fontId="5" fillId="4" borderId="1" xfId="0" applyFont="1" applyFill="1" applyBorder="1" applyAlignment="1">
      <alignment horizontal="left" vertical="top" wrapText="1"/>
    </xf>
    <xf numFmtId="0" fontId="9" fillId="0" borderId="1" xfId="0" applyFont="1" applyFill="1" applyBorder="1" applyAlignment="1">
      <alignment horizontal="left" vertical="top" wrapText="1"/>
    </xf>
    <xf numFmtId="0" fontId="9" fillId="0" borderId="1" xfId="0" applyFont="1" applyBorder="1" applyAlignment="1">
      <alignment horizontal="left" vertical="top" wrapText="1"/>
    </xf>
    <xf numFmtId="3" fontId="5" fillId="0" borderId="1" xfId="0" applyNumberFormat="1" applyFont="1" applyBorder="1" applyAlignment="1">
      <alignment horizontal="right" vertical="top"/>
    </xf>
    <xf numFmtId="3" fontId="5" fillId="0" borderId="1" xfId="0" applyNumberFormat="1" applyFont="1" applyFill="1" applyBorder="1" applyAlignment="1">
      <alignment horizontal="right" vertical="top"/>
    </xf>
    <xf numFmtId="0" fontId="5" fillId="0" borderId="0" xfId="0" applyFont="1" applyAlignment="1">
      <alignment horizontal="right" vertical="top"/>
    </xf>
    <xf numFmtId="3" fontId="9" fillId="0" borderId="1" xfId="0" applyNumberFormat="1" applyFont="1" applyFill="1" applyBorder="1" applyAlignment="1">
      <alignment horizontal="right" vertical="top"/>
    </xf>
    <xf numFmtId="3" fontId="13" fillId="0" borderId="1" xfId="28" applyNumberFormat="1" applyFont="1" applyFill="1" applyBorder="1" applyAlignment="1" applyProtection="1">
      <alignment horizontal="right" vertical="top"/>
    </xf>
    <xf numFmtId="0" fontId="4" fillId="4" borderId="1" xfId="0" applyNumberFormat="1" applyFont="1" applyFill="1" applyBorder="1" applyAlignment="1">
      <alignment horizontal="center"/>
    </xf>
    <xf numFmtId="0" fontId="5" fillId="0" borderId="2" xfId="0" applyFont="1" applyBorder="1" applyAlignment="1">
      <alignment wrapText="1"/>
    </xf>
    <xf numFmtId="168" fontId="5" fillId="0" borderId="1" xfId="0" applyNumberFormat="1" applyFont="1" applyBorder="1"/>
    <xf numFmtId="0" fontId="5" fillId="0" borderId="1" xfId="0" applyFont="1" applyFill="1" applyBorder="1" applyAlignment="1">
      <alignment vertical="center" wrapText="1"/>
    </xf>
    <xf numFmtId="0" fontId="5" fillId="0" borderId="9" xfId="0" applyFont="1" applyBorder="1" applyAlignment="1">
      <alignment wrapText="1"/>
    </xf>
    <xf numFmtId="171" fontId="2" fillId="0" borderId="9" xfId="5" applyNumberFormat="1" applyFont="1" applyBorder="1" applyAlignment="1">
      <alignment vertical="center" wrapText="1"/>
    </xf>
    <xf numFmtId="171" fontId="2" fillId="2" borderId="9" xfId="5" applyNumberFormat="1" applyFont="1" applyFill="1" applyBorder="1" applyAlignment="1">
      <alignment vertical="center" wrapText="1"/>
    </xf>
    <xf numFmtId="168" fontId="5" fillId="2" borderId="1" xfId="0" applyNumberFormat="1" applyFont="1" applyFill="1" applyBorder="1"/>
    <xf numFmtId="171" fontId="2" fillId="0" borderId="10" xfId="5" applyNumberFormat="1" applyFont="1" applyBorder="1" applyAlignment="1">
      <alignment vertical="center" wrapText="1"/>
    </xf>
    <xf numFmtId="168" fontId="5" fillId="5" borderId="1" xfId="0" applyNumberFormat="1" applyFont="1" applyFill="1" applyBorder="1"/>
    <xf numFmtId="168" fontId="5" fillId="0" borderId="1" xfId="0" applyNumberFormat="1" applyFont="1" applyBorder="1" applyAlignment="1">
      <alignment wrapText="1"/>
    </xf>
    <xf numFmtId="0" fontId="16" fillId="6" borderId="2" xfId="0" applyFont="1" applyFill="1" applyBorder="1" applyAlignment="1">
      <alignment vertical="center"/>
    </xf>
    <xf numFmtId="0" fontId="16" fillId="6" borderId="4" xfId="0" applyFont="1" applyFill="1" applyBorder="1" applyAlignment="1">
      <alignment vertical="center"/>
    </xf>
    <xf numFmtId="0" fontId="16" fillId="6" borderId="3" xfId="0" applyFont="1" applyFill="1" applyBorder="1" applyAlignment="1">
      <alignment vertical="center"/>
    </xf>
    <xf numFmtId="0" fontId="16" fillId="6" borderId="1" xfId="0" applyNumberFormat="1" applyFont="1" applyFill="1" applyBorder="1"/>
    <xf numFmtId="0" fontId="12" fillId="7" borderId="1" xfId="0" applyFont="1" applyFill="1" applyBorder="1"/>
    <xf numFmtId="0" fontId="4" fillId="0" borderId="0" xfId="0" applyFont="1" applyFill="1"/>
    <xf numFmtId="0" fontId="5" fillId="0" borderId="0" xfId="0" applyFont="1" applyFill="1"/>
    <xf numFmtId="0" fontId="0" fillId="0" borderId="0" xfId="0" applyFill="1"/>
    <xf numFmtId="0" fontId="17" fillId="0" borderId="1" xfId="0" applyFont="1" applyFill="1" applyBorder="1" applyAlignment="1">
      <alignment horizontal="left" vertical="top" wrapText="1"/>
    </xf>
    <xf numFmtId="168" fontId="17" fillId="0" borderId="1" xfId="0" applyNumberFormat="1" applyFont="1" applyFill="1" applyBorder="1" applyAlignment="1">
      <alignment horizontal="right" vertical="center"/>
    </xf>
    <xf numFmtId="0" fontId="2" fillId="0" borderId="1" xfId="0" applyFont="1" applyFill="1" applyBorder="1" applyAlignment="1">
      <alignment horizontal="left" vertical="center" wrapText="1"/>
    </xf>
    <xf numFmtId="0" fontId="5" fillId="0" borderId="9" xfId="0" applyFont="1" applyFill="1" applyBorder="1" applyAlignment="1">
      <alignment wrapText="1"/>
    </xf>
    <xf numFmtId="168" fontId="5" fillId="0" borderId="1" xfId="0" applyNumberFormat="1" applyFont="1" applyFill="1" applyBorder="1"/>
    <xf numFmtId="0" fontId="9" fillId="0" borderId="0" xfId="0" applyFont="1" applyFill="1" applyBorder="1" applyAlignment="1">
      <alignment horizontal="left" vertical="top" wrapText="1"/>
    </xf>
    <xf numFmtId="3" fontId="9" fillId="0" borderId="0" xfId="0" applyNumberFormat="1" applyFont="1" applyFill="1" applyBorder="1" applyAlignment="1">
      <alignment horizontal="right" vertical="top"/>
    </xf>
    <xf numFmtId="3" fontId="13" fillId="0" borderId="0" xfId="28" applyNumberFormat="1" applyFont="1" applyFill="1" applyBorder="1" applyAlignment="1" applyProtection="1">
      <alignment horizontal="right" vertical="top"/>
    </xf>
    <xf numFmtId="0" fontId="9" fillId="0" borderId="0" xfId="0" applyFont="1" applyBorder="1" applyAlignment="1">
      <alignment horizontal="left" vertical="top" wrapText="1"/>
    </xf>
    <xf numFmtId="0" fontId="13" fillId="0" borderId="1" xfId="0" applyFont="1" applyBorder="1" applyAlignment="1">
      <alignment horizontal="left" vertical="top" wrapText="1"/>
    </xf>
    <xf numFmtId="0" fontId="0" fillId="0" borderId="0" xfId="0" applyFill="1" applyBorder="1"/>
    <xf numFmtId="0" fontId="5" fillId="2" borderId="1" xfId="0" applyFont="1" applyFill="1" applyBorder="1"/>
    <xf numFmtId="170" fontId="5" fillId="0" borderId="1" xfId="28" applyNumberFormat="1" applyFont="1" applyBorder="1"/>
    <xf numFmtId="0" fontId="4" fillId="5" borderId="1" xfId="0" applyFont="1" applyFill="1" applyBorder="1" applyAlignment="1">
      <alignment vertical="center"/>
    </xf>
    <xf numFmtId="0" fontId="5" fillId="0" borderId="1" xfId="0" applyFont="1" applyFill="1" applyBorder="1" applyAlignment="1">
      <alignment vertical="center"/>
    </xf>
    <xf numFmtId="0" fontId="4" fillId="0" borderId="1" xfId="0" applyFont="1" applyFill="1" applyBorder="1" applyAlignment="1">
      <alignment horizontal="center" vertical="center"/>
    </xf>
    <xf numFmtId="0" fontId="4" fillId="0" borderId="1" xfId="0" applyFont="1" applyFill="1" applyBorder="1"/>
    <xf numFmtId="170" fontId="4" fillId="0" borderId="1" xfId="28" applyNumberFormat="1" applyFont="1" applyFill="1" applyBorder="1"/>
    <xf numFmtId="0" fontId="4" fillId="0"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xf numFmtId="170" fontId="5" fillId="0" borderId="0" xfId="28" applyNumberFormat="1" applyFont="1" applyFill="1" applyBorder="1"/>
    <xf numFmtId="0" fontId="4" fillId="0" borderId="0" xfId="0" applyFont="1" applyFill="1" applyBorder="1"/>
    <xf numFmtId="170" fontId="4" fillId="0" borderId="0" xfId="28" applyNumberFormat="1" applyFont="1" applyFill="1" applyBorder="1"/>
    <xf numFmtId="168" fontId="2" fillId="0" borderId="1" xfId="30" applyNumberFormat="1" applyFont="1" applyBorder="1" applyAlignment="1">
      <alignment horizontal="right" vertical="top"/>
    </xf>
    <xf numFmtId="0" fontId="2" fillId="0" borderId="1" xfId="0" applyFont="1" applyBorder="1" applyAlignment="1">
      <alignment horizontal="left" vertical="top" wrapText="1"/>
    </xf>
    <xf numFmtId="3" fontId="5" fillId="0" borderId="0" xfId="0" applyNumberFormat="1" applyFont="1" applyAlignment="1">
      <alignment horizontal="right"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4" fillId="4" borderId="2" xfId="0" applyFont="1" applyFill="1" applyBorder="1" applyAlignment="1">
      <alignment horizontal="center" vertical="top" wrapText="1"/>
    </xf>
    <xf numFmtId="0" fontId="4" fillId="4" borderId="4" xfId="0" applyFont="1" applyFill="1" applyBorder="1" applyAlignment="1">
      <alignment horizontal="center" vertical="top" wrapText="1"/>
    </xf>
    <xf numFmtId="0" fontId="4" fillId="4" borderId="3" xfId="0" applyFont="1" applyFill="1" applyBorder="1" applyAlignment="1">
      <alignment horizontal="center" vertical="top" wrapText="1"/>
    </xf>
    <xf numFmtId="0" fontId="4" fillId="4" borderId="2" xfId="0" applyFont="1" applyFill="1" applyBorder="1" applyAlignment="1">
      <alignment horizontal="center"/>
    </xf>
    <xf numFmtId="0" fontId="4" fillId="4" borderId="3" xfId="0" applyFont="1" applyFill="1" applyBorder="1" applyAlignment="1">
      <alignment horizontal="center"/>
    </xf>
    <xf numFmtId="0" fontId="4" fillId="0" borderId="5" xfId="0" applyFont="1" applyBorder="1" applyAlignment="1">
      <alignment horizontal="center" vertical="center" wrapText="1"/>
    </xf>
    <xf numFmtId="0" fontId="4" fillId="0" borderId="6" xfId="0" applyFont="1" applyBorder="1" applyAlignment="1"/>
    <xf numFmtId="0" fontId="4" fillId="0" borderId="7" xfId="0" applyFont="1" applyBorder="1" applyAlignment="1">
      <alignment horizontal="center" vertical="center" wrapText="1"/>
    </xf>
    <xf numFmtId="0" fontId="4" fillId="0" borderId="8" xfId="0" applyFont="1" applyBorder="1" applyAlignment="1"/>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xf numFmtId="0" fontId="4" fillId="5" borderId="2"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Alignment="1">
      <alignment horizontal="left" vertical="center" wrapText="1"/>
    </xf>
    <xf numFmtId="0" fontId="4" fillId="2" borderId="1" xfId="0" applyFont="1" applyFill="1" applyBorder="1" applyAlignment="1">
      <alignment horizontal="left" wrapText="1"/>
    </xf>
  </cellXfs>
  <cellStyles count="32">
    <cellStyle name="Comma" xfId="29" builtinId="3"/>
    <cellStyle name="Comma 2" xfId="2"/>
    <cellStyle name="Comma 2 2" xfId="3"/>
    <cellStyle name="Comma 2 3" xfId="4"/>
    <cellStyle name="Comma 3" xfId="5"/>
    <cellStyle name="Comma 3 2" xfId="28"/>
    <cellStyle name="Comma 4" xfId="6"/>
    <cellStyle name="Comma 4 2" xfId="7"/>
    <cellStyle name="Comma 4 2 2" xfId="8"/>
    <cellStyle name="Comma 5" xfId="9"/>
    <cellStyle name="Comma 6" xfId="10"/>
    <cellStyle name="Currency" xfId="30" builtinId="4"/>
    <cellStyle name="Hyperlink 2" xfId="11"/>
    <cellStyle name="Normal" xfId="0" builtinId="0"/>
    <cellStyle name="Normal 2" xfId="1"/>
    <cellStyle name="Normal 2 2" xfId="12"/>
    <cellStyle name="Normal 2 2 2" xfId="27"/>
    <cellStyle name="Normal 2 3" xfId="13"/>
    <cellStyle name="Normal 3" xfId="14"/>
    <cellStyle name="Normal 4" xfId="15"/>
    <cellStyle name="Normal 5" xfId="16"/>
    <cellStyle name="Normal 6" xfId="17"/>
    <cellStyle name="Normal 7" xfId="18"/>
    <cellStyle name="Percent" xfId="31" builtinId="5"/>
    <cellStyle name="Percent 2" xfId="19"/>
    <cellStyle name="Percent 2 2" xfId="20"/>
    <cellStyle name="Percent 2 3" xfId="21"/>
    <cellStyle name="Percent 3" xfId="22"/>
    <cellStyle name="Percent 4" xfId="23"/>
    <cellStyle name="Percent 5" xfId="24"/>
    <cellStyle name="Percent 6" xfId="25"/>
    <cellStyle name="Percent 7" xf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xdr:rowOff>
    </xdr:from>
    <xdr:ext cx="1704975" cy="413606"/>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0550" y="1"/>
          <a:ext cx="1704975" cy="41360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G21"/>
  <sheetViews>
    <sheetView tabSelected="1" workbookViewId="0">
      <selection activeCell="C1" sqref="C1"/>
    </sheetView>
  </sheetViews>
  <sheetFormatPr defaultColWidth="8.85546875" defaultRowHeight="12.75" x14ac:dyDescent="0.25"/>
  <cols>
    <col min="1" max="1" width="4.140625" style="1" customWidth="1"/>
    <col min="2" max="2" width="14.85546875" style="3" customWidth="1"/>
    <col min="3" max="3" width="30" style="3" customWidth="1"/>
    <col min="4" max="4" width="24.140625" style="2" customWidth="1"/>
    <col min="5" max="5" width="26.7109375" style="12" customWidth="1"/>
    <col min="6" max="6" width="86.85546875" style="1" customWidth="1"/>
    <col min="7" max="16384" width="8.85546875" style="1"/>
  </cols>
  <sheetData>
    <row r="1" spans="1:7" x14ac:dyDescent="0.25">
      <c r="A1" s="3"/>
    </row>
    <row r="2" spans="1:7" x14ac:dyDescent="0.25">
      <c r="A2" s="3"/>
    </row>
    <row r="3" spans="1:7" x14ac:dyDescent="0.25">
      <c r="A3" s="3"/>
    </row>
    <row r="4" spans="1:7" s="19" customFormat="1" x14ac:dyDescent="0.25">
      <c r="A4" s="15" t="s">
        <v>172</v>
      </c>
      <c r="B4" s="15"/>
      <c r="C4" s="16"/>
      <c r="D4" s="17"/>
      <c r="E4" s="18"/>
    </row>
    <row r="5" spans="1:7" x14ac:dyDescent="0.25">
      <c r="A5" s="3"/>
    </row>
    <row r="6" spans="1:7" x14ac:dyDescent="0.25">
      <c r="A6" s="1" t="s">
        <v>128</v>
      </c>
      <c r="B6" s="1"/>
    </row>
    <row r="7" spans="1:7" x14ac:dyDescent="0.25">
      <c r="A7" s="1" t="s">
        <v>131</v>
      </c>
      <c r="B7" s="1"/>
    </row>
    <row r="8" spans="1:7" x14ac:dyDescent="0.25">
      <c r="A8" s="1" t="s">
        <v>49</v>
      </c>
      <c r="B8" s="1"/>
    </row>
    <row r="9" spans="1:7" x14ac:dyDescent="0.25">
      <c r="A9" s="10"/>
      <c r="B9" s="10"/>
    </row>
    <row r="11" spans="1:7" s="4" customFormat="1" ht="130.5" customHeight="1" x14ac:dyDescent="0.25">
      <c r="A11" s="56"/>
      <c r="B11" s="5" t="s">
        <v>0</v>
      </c>
      <c r="C11" s="5" t="s">
        <v>127</v>
      </c>
      <c r="D11" s="6" t="s">
        <v>125</v>
      </c>
      <c r="E11" s="13" t="s">
        <v>133</v>
      </c>
      <c r="F11" s="5" t="s">
        <v>134</v>
      </c>
      <c r="G11" s="9"/>
    </row>
    <row r="12" spans="1:7" ht="83.25" customHeight="1" x14ac:dyDescent="0.25">
      <c r="A12" s="57">
        <v>1</v>
      </c>
      <c r="B12" s="7" t="s">
        <v>2</v>
      </c>
      <c r="C12" s="7" t="s">
        <v>129</v>
      </c>
      <c r="D12" s="11">
        <v>224369</v>
      </c>
      <c r="E12" s="151" t="s">
        <v>124</v>
      </c>
      <c r="F12" s="136" t="s">
        <v>137</v>
      </c>
    </row>
    <row r="13" spans="1:7" ht="102" customHeight="1" x14ac:dyDescent="0.25">
      <c r="A13" s="57">
        <v>2</v>
      </c>
      <c r="B13" s="7" t="s">
        <v>3</v>
      </c>
      <c r="C13" s="7" t="s">
        <v>70</v>
      </c>
      <c r="D13" s="8">
        <v>4497209</v>
      </c>
      <c r="E13" s="93">
        <v>415973</v>
      </c>
      <c r="F13" s="152" t="s">
        <v>138</v>
      </c>
    </row>
    <row r="14" spans="1:7" ht="96" customHeight="1" x14ac:dyDescent="0.25">
      <c r="A14" s="57">
        <v>3</v>
      </c>
      <c r="B14" s="7" t="s">
        <v>1</v>
      </c>
      <c r="C14" s="7" t="s">
        <v>67</v>
      </c>
      <c r="D14" s="8">
        <v>150740</v>
      </c>
      <c r="E14" s="14">
        <v>890867</v>
      </c>
      <c r="F14" s="7" t="s">
        <v>149</v>
      </c>
    </row>
    <row r="15" spans="1:7" ht="56.25" customHeight="1" x14ac:dyDescent="0.25">
      <c r="A15" s="57">
        <v>4</v>
      </c>
      <c r="B15" s="7" t="s">
        <v>27</v>
      </c>
      <c r="C15" s="7" t="s">
        <v>68</v>
      </c>
      <c r="D15" s="20">
        <v>340665</v>
      </c>
      <c r="E15" s="14">
        <v>2707394</v>
      </c>
      <c r="F15" s="7" t="s">
        <v>135</v>
      </c>
    </row>
    <row r="16" spans="1:7" ht="118.5" customHeight="1" x14ac:dyDescent="0.25">
      <c r="A16" s="57">
        <v>5</v>
      </c>
      <c r="B16" s="7" t="s">
        <v>44</v>
      </c>
      <c r="C16" s="7" t="s">
        <v>130</v>
      </c>
      <c r="D16" s="8">
        <v>634449</v>
      </c>
      <c r="E16" s="14">
        <v>203101</v>
      </c>
      <c r="F16" s="7" t="s">
        <v>139</v>
      </c>
    </row>
    <row r="17" spans="1:6" ht="55.5" customHeight="1" x14ac:dyDescent="0.25">
      <c r="A17" s="57">
        <v>6</v>
      </c>
      <c r="B17" s="7" t="s">
        <v>126</v>
      </c>
      <c r="C17" s="7" t="s">
        <v>132</v>
      </c>
      <c r="D17" s="8">
        <v>288298</v>
      </c>
      <c r="E17" s="75">
        <v>165114</v>
      </c>
      <c r="F17" s="76" t="s">
        <v>140</v>
      </c>
    </row>
    <row r="18" spans="1:6" ht="56.25" customHeight="1" x14ac:dyDescent="0.25">
      <c r="A18" s="57">
        <v>7</v>
      </c>
      <c r="B18" s="7" t="s">
        <v>48</v>
      </c>
      <c r="C18" s="7" t="s">
        <v>69</v>
      </c>
      <c r="D18" s="8">
        <v>93750</v>
      </c>
      <c r="E18" s="93">
        <v>23783</v>
      </c>
      <c r="F18" s="70" t="s">
        <v>136</v>
      </c>
    </row>
    <row r="19" spans="1:6" x14ac:dyDescent="0.25">
      <c r="A19" s="57"/>
      <c r="B19" s="71" t="s">
        <v>71</v>
      </c>
      <c r="C19" s="7"/>
      <c r="D19" s="73">
        <f>SUM(D12:D18)</f>
        <v>6229480</v>
      </c>
      <c r="E19" s="72">
        <f>SUM(E12:E18)</f>
        <v>4406232</v>
      </c>
      <c r="F19" s="57"/>
    </row>
    <row r="21" spans="1:6" x14ac:dyDescent="0.25">
      <c r="B21" s="74"/>
    </row>
  </sheetData>
  <pageMargins left="0.7" right="0.7" top="0.75" bottom="0.75" header="0.3" footer="0.3"/>
  <pageSetup paperSize="9" scale="61" orientation="landscape"/>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L38"/>
  <sheetViews>
    <sheetView workbookViewId="0"/>
  </sheetViews>
  <sheetFormatPr defaultColWidth="8.85546875" defaultRowHeight="15" x14ac:dyDescent="0.25"/>
  <cols>
    <col min="3" max="3" width="50" customWidth="1"/>
    <col min="6" max="6" width="30.7109375" customWidth="1"/>
    <col min="8" max="8" width="23.140625" customWidth="1"/>
    <col min="9" max="9" width="10.42578125" customWidth="1"/>
    <col min="10" max="10" width="10.28515625" customWidth="1"/>
    <col min="11" max="11" width="10.42578125" customWidth="1"/>
    <col min="12" max="12" width="44.42578125" customWidth="1"/>
  </cols>
  <sheetData>
    <row r="1" spans="1:12" s="126" customFormat="1" x14ac:dyDescent="0.25">
      <c r="A1" s="41" t="s">
        <v>150</v>
      </c>
      <c r="B1" s="41"/>
      <c r="C1" s="125"/>
      <c r="D1" s="125"/>
      <c r="E1" s="125"/>
      <c r="F1" s="125"/>
      <c r="H1" s="41"/>
      <c r="I1"/>
      <c r="J1"/>
      <c r="K1"/>
      <c r="L1"/>
    </row>
    <row r="2" spans="1:12" s="126" customFormat="1" x14ac:dyDescent="0.25">
      <c r="A2" s="124"/>
      <c r="B2" s="41"/>
      <c r="C2" s="125"/>
      <c r="D2" s="125"/>
      <c r="E2" s="125"/>
      <c r="F2" s="125"/>
      <c r="H2" s="41"/>
      <c r="I2"/>
      <c r="J2"/>
      <c r="K2"/>
      <c r="L2"/>
    </row>
    <row r="3" spans="1:12" x14ac:dyDescent="0.25">
      <c r="A3" s="124" t="s">
        <v>151</v>
      </c>
      <c r="B3" s="21"/>
      <c r="C3" s="67"/>
      <c r="D3" s="67"/>
      <c r="E3" s="21"/>
      <c r="F3" s="21"/>
      <c r="H3" s="41" t="s">
        <v>93</v>
      </c>
      <c r="I3" s="21"/>
      <c r="J3" s="21"/>
      <c r="K3" s="21"/>
      <c r="L3" s="27"/>
    </row>
    <row r="4" spans="1:12" ht="51" customHeight="1" x14ac:dyDescent="0.25">
      <c r="A4" s="159" t="s">
        <v>94</v>
      </c>
      <c r="B4" s="160"/>
      <c r="C4" s="94" t="s">
        <v>95</v>
      </c>
      <c r="D4" s="108">
        <v>2016</v>
      </c>
      <c r="E4" s="108">
        <v>2017</v>
      </c>
      <c r="F4" s="94" t="s">
        <v>96</v>
      </c>
      <c r="H4" s="97" t="s">
        <v>88</v>
      </c>
      <c r="I4" s="156" t="s">
        <v>117</v>
      </c>
      <c r="J4" s="157"/>
      <c r="K4" s="158"/>
      <c r="L4" s="98" t="s">
        <v>89</v>
      </c>
    </row>
    <row r="5" spans="1:12" ht="26.25" customHeight="1" x14ac:dyDescent="0.25">
      <c r="A5" s="161" t="s">
        <v>97</v>
      </c>
      <c r="B5" s="162"/>
      <c r="C5" s="109" t="s">
        <v>98</v>
      </c>
      <c r="D5" s="110">
        <v>117862.40525739323</v>
      </c>
      <c r="E5" s="110">
        <v>103675.79408543264</v>
      </c>
      <c r="F5" s="111"/>
      <c r="H5" s="99"/>
      <c r="I5" s="96">
        <v>2016</v>
      </c>
      <c r="J5" s="96">
        <v>2017</v>
      </c>
      <c r="K5" s="96">
        <v>2018</v>
      </c>
      <c r="L5" s="100"/>
    </row>
    <row r="6" spans="1:12" ht="26.25" x14ac:dyDescent="0.25">
      <c r="A6" s="163"/>
      <c r="B6" s="164"/>
      <c r="C6" s="109" t="s">
        <v>99</v>
      </c>
      <c r="D6" s="110">
        <v>26286.966046002195</v>
      </c>
      <c r="E6" s="110">
        <v>29572.836801752466</v>
      </c>
      <c r="F6" s="110"/>
      <c r="H6" s="57" t="s">
        <v>90</v>
      </c>
      <c r="I6" s="103">
        <v>278554</v>
      </c>
      <c r="J6" s="103">
        <v>144315</v>
      </c>
      <c r="K6" s="103">
        <v>207815</v>
      </c>
      <c r="L6" s="95"/>
    </row>
    <row r="7" spans="1:12" ht="168" customHeight="1" x14ac:dyDescent="0.25">
      <c r="A7" s="163"/>
      <c r="B7" s="164"/>
      <c r="C7" s="112" t="s">
        <v>100</v>
      </c>
      <c r="D7" s="110">
        <v>56078.860898138017</v>
      </c>
      <c r="E7" s="110">
        <v>0</v>
      </c>
      <c r="F7" s="110"/>
      <c r="H7" s="57" t="s">
        <v>91</v>
      </c>
      <c r="I7" s="103">
        <v>266107</v>
      </c>
      <c r="J7" s="103">
        <v>334409</v>
      </c>
      <c r="K7" s="104">
        <v>340450</v>
      </c>
      <c r="L7" s="95" t="s">
        <v>153</v>
      </c>
    </row>
    <row r="8" spans="1:12" x14ac:dyDescent="0.25">
      <c r="A8" s="163"/>
      <c r="B8" s="164"/>
      <c r="C8" s="112" t="s">
        <v>101</v>
      </c>
      <c r="D8" s="110">
        <v>788.60898138006576</v>
      </c>
      <c r="E8" s="110">
        <v>788.60898138006576</v>
      </c>
      <c r="F8" s="110"/>
      <c r="H8" s="1"/>
      <c r="I8" s="105"/>
      <c r="J8" s="105"/>
      <c r="K8" s="105"/>
      <c r="L8" s="3"/>
    </row>
    <row r="9" spans="1:12" ht="38.25" x14ac:dyDescent="0.25">
      <c r="A9" s="163"/>
      <c r="B9" s="164"/>
      <c r="C9" s="112" t="s">
        <v>102</v>
      </c>
      <c r="D9" s="110">
        <v>29967.141292442506</v>
      </c>
      <c r="E9" s="110">
        <v>28337.600000000002</v>
      </c>
      <c r="F9" s="110"/>
      <c r="H9" s="101" t="s">
        <v>92</v>
      </c>
      <c r="I9" s="106">
        <v>1819838</v>
      </c>
      <c r="J9" s="107">
        <v>1864424</v>
      </c>
      <c r="K9" s="107">
        <v>1910102</v>
      </c>
      <c r="L9" s="102"/>
    </row>
    <row r="10" spans="1:12" ht="26.25" x14ac:dyDescent="0.25">
      <c r="A10" s="163"/>
      <c r="B10" s="164"/>
      <c r="C10" s="130" t="s">
        <v>103</v>
      </c>
      <c r="D10" s="131">
        <v>5159</v>
      </c>
      <c r="E10" s="131">
        <v>0</v>
      </c>
      <c r="F10" s="131"/>
      <c r="H10" s="132"/>
      <c r="I10" s="133"/>
      <c r="J10" s="134"/>
      <c r="K10" s="134"/>
      <c r="L10" s="135"/>
    </row>
    <row r="11" spans="1:12" ht="50.25" customHeight="1" x14ac:dyDescent="0.25">
      <c r="A11" s="163"/>
      <c r="B11" s="164"/>
      <c r="C11" s="112" t="s">
        <v>104</v>
      </c>
      <c r="D11" s="110">
        <v>31807.22891566265</v>
      </c>
      <c r="E11" s="110">
        <v>30361.600000000002</v>
      </c>
      <c r="F11" s="110"/>
      <c r="H11" s="140" t="s">
        <v>72</v>
      </c>
      <c r="I11" s="168" t="s">
        <v>123</v>
      </c>
      <c r="J11" s="169"/>
      <c r="K11" s="170"/>
    </row>
    <row r="12" spans="1:12" ht="31.5" customHeight="1" x14ac:dyDescent="0.25">
      <c r="A12" s="163"/>
      <c r="B12" s="164"/>
      <c r="C12" s="112" t="s">
        <v>105</v>
      </c>
      <c r="D12" s="110">
        <v>3242.0591456736033</v>
      </c>
      <c r="E12" s="110">
        <v>2628.6966046002194</v>
      </c>
      <c r="F12" s="110"/>
      <c r="H12" s="141"/>
      <c r="I12" s="142">
        <v>2016</v>
      </c>
      <c r="J12" s="142">
        <v>2017</v>
      </c>
      <c r="K12" s="142">
        <v>2018</v>
      </c>
    </row>
    <row r="13" spans="1:12" x14ac:dyDescent="0.25">
      <c r="A13" s="163"/>
      <c r="B13" s="164"/>
      <c r="C13" s="130" t="s">
        <v>106</v>
      </c>
      <c r="D13" s="131">
        <v>10000</v>
      </c>
      <c r="E13" s="131">
        <v>1752.464403066813</v>
      </c>
      <c r="F13" s="131"/>
      <c r="H13" s="138" t="s">
        <v>120</v>
      </c>
      <c r="I13" s="139">
        <v>191924</v>
      </c>
      <c r="J13" s="139">
        <v>195859</v>
      </c>
      <c r="K13" s="139">
        <v>199874</v>
      </c>
    </row>
    <row r="14" spans="1:12" x14ac:dyDescent="0.25">
      <c r="A14" s="163"/>
      <c r="B14" s="164"/>
      <c r="C14" s="113" t="s">
        <v>107</v>
      </c>
      <c r="D14" s="110">
        <v>23658.269441401975</v>
      </c>
      <c r="E14" s="110">
        <v>1752.464403066813</v>
      </c>
      <c r="F14" s="110"/>
      <c r="H14" s="138" t="s">
        <v>121</v>
      </c>
      <c r="I14" s="139">
        <v>64440</v>
      </c>
      <c r="J14" s="139">
        <v>65761</v>
      </c>
      <c r="K14" s="139">
        <v>67109</v>
      </c>
    </row>
    <row r="15" spans="1:12" x14ac:dyDescent="0.25">
      <c r="A15" s="163"/>
      <c r="B15" s="164"/>
      <c r="C15" s="113" t="s">
        <v>108</v>
      </c>
      <c r="D15" s="110">
        <v>9638.554216867471</v>
      </c>
      <c r="E15" s="110">
        <v>9638.554216867471</v>
      </c>
      <c r="F15" s="110"/>
      <c r="H15" s="138" t="s">
        <v>122</v>
      </c>
      <c r="I15" s="139">
        <v>99280</v>
      </c>
      <c r="J15" s="139">
        <v>101316</v>
      </c>
      <c r="K15" s="139">
        <v>103392</v>
      </c>
    </row>
    <row r="16" spans="1:12" x14ac:dyDescent="0.25">
      <c r="A16" s="163"/>
      <c r="B16" s="164"/>
      <c r="C16" s="113" t="s">
        <v>109</v>
      </c>
      <c r="D16" s="110">
        <v>7710.8433734939754</v>
      </c>
      <c r="E16" s="110">
        <v>7710.8433734939754</v>
      </c>
      <c r="F16" s="110"/>
      <c r="H16" s="143" t="s">
        <v>14</v>
      </c>
      <c r="I16" s="144">
        <f>SUM(I13:I15)</f>
        <v>355644</v>
      </c>
      <c r="J16" s="144">
        <f>SUM(J13:J15)</f>
        <v>362936</v>
      </c>
      <c r="K16" s="144">
        <f>SUM(K13:K15)</f>
        <v>370375</v>
      </c>
    </row>
    <row r="17" spans="1:12" x14ac:dyDescent="0.25">
      <c r="A17" s="163"/>
      <c r="B17" s="164"/>
      <c r="C17" s="113" t="s">
        <v>110</v>
      </c>
      <c r="D17" s="110">
        <v>5783.1325301204824</v>
      </c>
      <c r="E17" s="110">
        <v>5783.1325301204824</v>
      </c>
      <c r="F17" s="110"/>
      <c r="H17" s="137"/>
      <c r="I17" s="137"/>
      <c r="J17" s="137"/>
      <c r="K17" s="137"/>
    </row>
    <row r="18" spans="1:12" x14ac:dyDescent="0.25">
      <c r="A18" s="163"/>
      <c r="B18" s="164"/>
      <c r="C18" s="114" t="s">
        <v>111</v>
      </c>
      <c r="D18" s="115">
        <v>19907.995618838992</v>
      </c>
      <c r="E18" s="115">
        <v>18243.15443592552</v>
      </c>
      <c r="F18" s="115"/>
    </row>
    <row r="19" spans="1:12" x14ac:dyDescent="0.25">
      <c r="A19" s="163"/>
      <c r="B19" s="164"/>
      <c r="C19" s="113" t="s">
        <v>112</v>
      </c>
      <c r="D19" s="110">
        <v>21029.572836801755</v>
      </c>
      <c r="E19" s="110">
        <v>19277.108433734942</v>
      </c>
      <c r="F19" s="110"/>
    </row>
    <row r="20" spans="1:12" ht="15.75" thickBot="1" x14ac:dyDescent="0.3">
      <c r="A20" s="163"/>
      <c r="B20" s="164"/>
      <c r="C20" s="116" t="s">
        <v>152</v>
      </c>
      <c r="D20" s="110">
        <v>29998.991652981142</v>
      </c>
      <c r="E20" s="110">
        <v>8510.0491245408557</v>
      </c>
      <c r="F20" s="110"/>
    </row>
    <row r="21" spans="1:12" ht="15.75" thickTop="1" x14ac:dyDescent="0.25">
      <c r="A21" s="159"/>
      <c r="B21" s="160"/>
      <c r="C21" s="117" t="s">
        <v>71</v>
      </c>
      <c r="D21" s="117">
        <v>398919.44729372591</v>
      </c>
      <c r="E21" s="117">
        <f>SUM(E5:E20)</f>
        <v>268032.90739398228</v>
      </c>
      <c r="F21" s="117"/>
    </row>
    <row r="22" spans="1:12" x14ac:dyDescent="0.25">
      <c r="A22" s="21"/>
      <c r="B22" s="21"/>
      <c r="C22" s="67"/>
      <c r="D22" s="67"/>
      <c r="E22" s="21"/>
      <c r="F22" s="21"/>
    </row>
    <row r="23" spans="1:12" x14ac:dyDescent="0.25">
      <c r="A23" s="159" t="s">
        <v>94</v>
      </c>
      <c r="B23" s="160"/>
      <c r="C23" s="94" t="s">
        <v>113</v>
      </c>
      <c r="D23" s="108">
        <v>2016</v>
      </c>
      <c r="E23" s="108">
        <v>2017</v>
      </c>
      <c r="F23" s="94" t="s">
        <v>96</v>
      </c>
    </row>
    <row r="24" spans="1:12" ht="39" x14ac:dyDescent="0.25">
      <c r="A24" s="165" t="s">
        <v>2</v>
      </c>
      <c r="B24" s="162"/>
      <c r="C24" s="92" t="s">
        <v>114</v>
      </c>
      <c r="D24" s="110">
        <v>24000</v>
      </c>
      <c r="E24" s="110">
        <v>16000</v>
      </c>
      <c r="F24" s="118" t="s">
        <v>173</v>
      </c>
    </row>
    <row r="25" spans="1:12" x14ac:dyDescent="0.25">
      <c r="A25" s="166"/>
      <c r="B25" s="167"/>
      <c r="C25" s="92" t="s">
        <v>115</v>
      </c>
      <c r="D25" s="110">
        <v>25000</v>
      </c>
      <c r="E25" s="110">
        <v>0</v>
      </c>
      <c r="F25" s="110"/>
    </row>
    <row r="26" spans="1:12" x14ac:dyDescent="0.25">
      <c r="A26" s="159" t="s">
        <v>14</v>
      </c>
      <c r="B26" s="160"/>
      <c r="C26" s="117"/>
      <c r="D26" s="117">
        <v>49000</v>
      </c>
      <c r="E26" s="117">
        <f>SUM(E24:E25)</f>
        <v>16000</v>
      </c>
      <c r="F26" s="117"/>
    </row>
    <row r="27" spans="1:12" x14ac:dyDescent="0.25">
      <c r="A27" s="50"/>
      <c r="B27" s="50"/>
      <c r="C27" s="67"/>
      <c r="D27" s="67"/>
      <c r="E27" s="21"/>
      <c r="F27" s="21"/>
    </row>
    <row r="28" spans="1:12" ht="49.5" customHeight="1" x14ac:dyDescent="0.25">
      <c r="A28" s="119" t="s">
        <v>119</v>
      </c>
      <c r="B28" s="120"/>
      <c r="C28" s="121"/>
      <c r="D28" s="122">
        <v>2016</v>
      </c>
      <c r="E28" s="122">
        <v>2017</v>
      </c>
      <c r="F28" s="123" t="s">
        <v>96</v>
      </c>
      <c r="H28" s="145"/>
      <c r="I28" s="171"/>
      <c r="J28" s="171"/>
      <c r="K28" s="171"/>
      <c r="L28" s="137"/>
    </row>
    <row r="29" spans="1:12" ht="119.25" customHeight="1" x14ac:dyDescent="0.25">
      <c r="A29" s="154" t="s">
        <v>116</v>
      </c>
      <c r="B29" s="155"/>
      <c r="C29" s="127" t="s">
        <v>118</v>
      </c>
      <c r="D29" s="128">
        <v>41839.32</v>
      </c>
      <c r="E29" s="128">
        <v>43513.57</v>
      </c>
      <c r="F29" s="129"/>
      <c r="H29" s="146"/>
      <c r="I29" s="146"/>
      <c r="J29" s="146"/>
      <c r="K29" s="146"/>
      <c r="L29" s="137"/>
    </row>
    <row r="30" spans="1:12" x14ac:dyDescent="0.25">
      <c r="H30" s="147"/>
      <c r="I30" s="148"/>
      <c r="J30" s="148"/>
      <c r="K30" s="148"/>
      <c r="L30" s="137"/>
    </row>
    <row r="31" spans="1:12" x14ac:dyDescent="0.25">
      <c r="H31" s="147"/>
      <c r="I31" s="148"/>
      <c r="J31" s="148"/>
      <c r="K31" s="148"/>
      <c r="L31" s="137"/>
    </row>
    <row r="32" spans="1:12" x14ac:dyDescent="0.25">
      <c r="H32" s="147"/>
      <c r="I32" s="148"/>
      <c r="J32" s="148"/>
      <c r="K32" s="148"/>
      <c r="L32" s="137"/>
    </row>
    <row r="33" spans="8:12" x14ac:dyDescent="0.25">
      <c r="H33" s="149"/>
      <c r="I33" s="150"/>
      <c r="J33" s="150"/>
      <c r="K33" s="150"/>
      <c r="L33" s="137"/>
    </row>
    <row r="34" spans="8:12" x14ac:dyDescent="0.25">
      <c r="H34" s="137"/>
      <c r="I34" s="137"/>
      <c r="J34" s="137"/>
      <c r="K34" s="137"/>
      <c r="L34" s="137"/>
    </row>
    <row r="35" spans="8:12" x14ac:dyDescent="0.25">
      <c r="H35" s="137"/>
      <c r="I35" s="137"/>
      <c r="J35" s="137"/>
      <c r="K35" s="137"/>
      <c r="L35" s="137"/>
    </row>
    <row r="36" spans="8:12" x14ac:dyDescent="0.25">
      <c r="H36" s="137"/>
      <c r="I36" s="137"/>
      <c r="J36" s="137"/>
      <c r="K36" s="137"/>
      <c r="L36" s="137"/>
    </row>
    <row r="37" spans="8:12" x14ac:dyDescent="0.25">
      <c r="H37" s="137"/>
      <c r="I37" s="137"/>
      <c r="J37" s="137"/>
      <c r="K37" s="137"/>
      <c r="L37" s="137"/>
    </row>
    <row r="38" spans="8:12" x14ac:dyDescent="0.25">
      <c r="H38" s="137"/>
      <c r="I38" s="137"/>
      <c r="J38" s="137"/>
      <c r="K38" s="137"/>
      <c r="L38" s="137"/>
    </row>
  </sheetData>
  <mergeCells count="10">
    <mergeCell ref="A29:B29"/>
    <mergeCell ref="I4:K4"/>
    <mergeCell ref="A4:B4"/>
    <mergeCell ref="A5:B20"/>
    <mergeCell ref="A21:B21"/>
    <mergeCell ref="A23:B23"/>
    <mergeCell ref="A24:B25"/>
    <mergeCell ref="A26:B26"/>
    <mergeCell ref="I11:K11"/>
    <mergeCell ref="I28:K28"/>
  </mergeCells>
  <pageMargins left="0.7" right="0.7" top="0.75" bottom="0.75" header="0.3" footer="0.3"/>
  <pageSetup paperSize="9" scale="56" orientation="landscape"/>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tint="0.39997558519241921"/>
    <pageSetUpPr fitToPage="1"/>
  </sheetPr>
  <dimension ref="A1:J18"/>
  <sheetViews>
    <sheetView workbookViewId="0"/>
  </sheetViews>
  <sheetFormatPr defaultColWidth="11.42578125" defaultRowHeight="12.75" x14ac:dyDescent="0.25"/>
  <cols>
    <col min="1" max="1" width="12" style="1" customWidth="1"/>
    <col min="2" max="2" width="16.28515625" style="1" customWidth="1"/>
    <col min="3" max="3" width="11.85546875" style="1" customWidth="1"/>
    <col min="4" max="4" width="13.28515625" style="1" customWidth="1"/>
    <col min="5" max="5" width="12.7109375" style="1" customWidth="1"/>
    <col min="6" max="6" width="11.85546875" style="1" customWidth="1"/>
    <col min="7" max="7" width="12.85546875" style="1" customWidth="1"/>
    <col min="8" max="8" width="16.42578125" style="1" customWidth="1"/>
    <col min="9" max="9" width="57" style="3" customWidth="1"/>
    <col min="10" max="16384" width="11.42578125" style="1"/>
  </cols>
  <sheetData>
    <row r="1" spans="1:10" x14ac:dyDescent="0.25">
      <c r="A1" s="32" t="s">
        <v>141</v>
      </c>
      <c r="B1" s="30"/>
      <c r="C1" s="30"/>
      <c r="D1" s="30"/>
      <c r="E1" s="30"/>
      <c r="F1" s="30"/>
      <c r="G1" s="30"/>
      <c r="H1" s="30"/>
      <c r="I1" s="31"/>
      <c r="J1" s="30"/>
    </row>
    <row r="2" spans="1:10" x14ac:dyDescent="0.25">
      <c r="A2" s="30"/>
      <c r="B2" s="30"/>
      <c r="C2" s="30"/>
      <c r="D2" s="30"/>
      <c r="E2" s="30"/>
      <c r="F2" s="30"/>
      <c r="G2" s="30"/>
      <c r="H2" s="30"/>
      <c r="I2" s="31"/>
      <c r="J2" s="30"/>
    </row>
    <row r="3" spans="1:10" ht="38.25" x14ac:dyDescent="0.25">
      <c r="A3" s="33" t="s">
        <v>4</v>
      </c>
      <c r="B3" s="33" t="s">
        <v>5</v>
      </c>
      <c r="C3" s="33" t="s">
        <v>6</v>
      </c>
      <c r="D3" s="33" t="s">
        <v>51</v>
      </c>
      <c r="E3" s="33" t="s">
        <v>52</v>
      </c>
      <c r="F3" s="33" t="s">
        <v>53</v>
      </c>
      <c r="G3" s="33" t="s">
        <v>54</v>
      </c>
      <c r="H3" s="33" t="s">
        <v>57</v>
      </c>
      <c r="I3" s="33" t="s">
        <v>7</v>
      </c>
      <c r="J3" s="30"/>
    </row>
    <row r="4" spans="1:10" ht="63.75" x14ac:dyDescent="0.25">
      <c r="A4" s="34" t="s">
        <v>8</v>
      </c>
      <c r="B4" s="34" t="s">
        <v>9</v>
      </c>
      <c r="C4" s="37">
        <v>1471705</v>
      </c>
      <c r="D4" s="37">
        <v>407523</v>
      </c>
      <c r="E4" s="37">
        <v>437145</v>
      </c>
      <c r="F4" s="37">
        <v>0</v>
      </c>
      <c r="G4" s="37">
        <v>0</v>
      </c>
      <c r="H4" s="39">
        <v>90463.897599557517</v>
      </c>
      <c r="I4" s="34" t="s">
        <v>143</v>
      </c>
      <c r="J4" s="30"/>
    </row>
    <row r="5" spans="1:10" ht="51" x14ac:dyDescent="0.25">
      <c r="A5" s="35" t="s">
        <v>10</v>
      </c>
      <c r="B5" s="35" t="s">
        <v>11</v>
      </c>
      <c r="C5" s="37">
        <v>2324991</v>
      </c>
      <c r="D5" s="37">
        <v>261481</v>
      </c>
      <c r="E5" s="37">
        <v>53101</v>
      </c>
      <c r="F5" s="37">
        <v>0</v>
      </c>
      <c r="G5" s="37">
        <v>0</v>
      </c>
      <c r="H5" s="39">
        <v>44510.892383228478</v>
      </c>
      <c r="I5" s="34" t="s">
        <v>144</v>
      </c>
      <c r="J5" s="30"/>
    </row>
    <row r="6" spans="1:10" ht="38.25" x14ac:dyDescent="0.25">
      <c r="A6" s="35" t="s">
        <v>10</v>
      </c>
      <c r="B6" s="35" t="s">
        <v>12</v>
      </c>
      <c r="C6" s="37">
        <v>2906401</v>
      </c>
      <c r="D6" s="37">
        <v>478554</v>
      </c>
      <c r="E6" s="37">
        <v>190747</v>
      </c>
      <c r="F6" s="37">
        <v>1383291</v>
      </c>
      <c r="G6" s="37">
        <v>2078941</v>
      </c>
      <c r="H6" s="39">
        <v>271303.36473875167</v>
      </c>
      <c r="I6" s="34" t="s">
        <v>145</v>
      </c>
      <c r="J6" s="30"/>
    </row>
    <row r="7" spans="1:10" ht="38.25" x14ac:dyDescent="0.25">
      <c r="A7" s="35" t="s">
        <v>10</v>
      </c>
      <c r="B7" s="35" t="s">
        <v>13</v>
      </c>
      <c r="C7" s="37">
        <v>2651376</v>
      </c>
      <c r="D7" s="37">
        <v>371215</v>
      </c>
      <c r="E7" s="37">
        <v>279995</v>
      </c>
      <c r="F7" s="37">
        <v>1098681</v>
      </c>
      <c r="G7" s="37">
        <v>1990722</v>
      </c>
      <c r="H7" s="39">
        <v>484588.35899763391</v>
      </c>
      <c r="I7" s="34" t="s">
        <v>146</v>
      </c>
      <c r="J7" s="30"/>
    </row>
    <row r="8" spans="1:10" ht="51" x14ac:dyDescent="0.25">
      <c r="A8" s="36" t="s">
        <v>14</v>
      </c>
      <c r="B8" s="36"/>
      <c r="C8" s="38">
        <f>SUM(C4:C7)</f>
        <v>9354473</v>
      </c>
      <c r="D8" s="38">
        <f t="shared" ref="D8:G8" si="0">SUM(D4:D7)</f>
        <v>1518773</v>
      </c>
      <c r="E8" s="38">
        <f t="shared" si="0"/>
        <v>960988</v>
      </c>
      <c r="F8" s="38">
        <f t="shared" si="0"/>
        <v>2481972</v>
      </c>
      <c r="G8" s="38">
        <f t="shared" si="0"/>
        <v>4069663</v>
      </c>
      <c r="H8" s="40">
        <v>890866.51371917152</v>
      </c>
      <c r="I8" s="33" t="s">
        <v>55</v>
      </c>
      <c r="J8" s="30"/>
    </row>
    <row r="9" spans="1:10" x14ac:dyDescent="0.25">
      <c r="A9" s="30"/>
      <c r="B9" s="30"/>
      <c r="C9" s="30"/>
      <c r="D9" s="30"/>
      <c r="E9" s="30"/>
      <c r="F9" s="30"/>
      <c r="G9" s="30"/>
      <c r="H9" s="30"/>
      <c r="I9" s="31"/>
      <c r="J9" s="30"/>
    </row>
    <row r="10" spans="1:10" x14ac:dyDescent="0.25">
      <c r="A10" s="32" t="s">
        <v>50</v>
      </c>
      <c r="B10" s="30"/>
      <c r="C10" s="30"/>
      <c r="D10" s="30"/>
      <c r="E10" s="30"/>
      <c r="F10" s="30"/>
      <c r="G10" s="30"/>
      <c r="H10" s="30"/>
      <c r="I10" s="31"/>
      <c r="J10" s="30"/>
    </row>
    <row r="11" spans="1:10" x14ac:dyDescent="0.25">
      <c r="A11" s="30" t="s">
        <v>15</v>
      </c>
      <c r="B11" s="30" t="s">
        <v>147</v>
      </c>
      <c r="C11" s="30"/>
      <c r="D11" s="30"/>
      <c r="E11" s="30"/>
      <c r="F11" s="30"/>
      <c r="G11" s="30"/>
      <c r="H11" s="30"/>
      <c r="I11" s="31"/>
      <c r="J11" s="30"/>
    </row>
    <row r="12" spans="1:10" x14ac:dyDescent="0.25">
      <c r="A12" s="30" t="s">
        <v>16</v>
      </c>
      <c r="B12" s="30" t="s">
        <v>148</v>
      </c>
      <c r="C12" s="30"/>
      <c r="D12" s="30"/>
      <c r="E12" s="30"/>
      <c r="F12" s="30"/>
      <c r="G12" s="30"/>
      <c r="H12" s="30"/>
      <c r="I12" s="31"/>
      <c r="J12" s="30"/>
    </row>
    <row r="13" spans="1:10" x14ac:dyDescent="0.25">
      <c r="A13" s="30" t="s">
        <v>142</v>
      </c>
      <c r="B13" s="30" t="s">
        <v>17</v>
      </c>
      <c r="C13" s="30"/>
      <c r="D13" s="30"/>
      <c r="E13" s="30"/>
      <c r="F13" s="30"/>
      <c r="G13" s="30"/>
      <c r="H13" s="30"/>
      <c r="I13" s="31"/>
      <c r="J13" s="30"/>
    </row>
    <row r="14" spans="1:10" x14ac:dyDescent="0.25">
      <c r="A14" s="30"/>
      <c r="B14" s="30"/>
      <c r="C14" s="30"/>
      <c r="D14" s="30"/>
      <c r="E14" s="30"/>
      <c r="F14" s="30"/>
      <c r="G14" s="30"/>
      <c r="H14" s="30"/>
      <c r="I14" s="31"/>
      <c r="J14" s="30"/>
    </row>
    <row r="15" spans="1:10" x14ac:dyDescent="0.25">
      <c r="A15" s="30" t="s">
        <v>18</v>
      </c>
      <c r="B15" s="30"/>
      <c r="C15" s="30"/>
      <c r="D15" s="30"/>
      <c r="E15" s="30"/>
      <c r="F15" s="30"/>
      <c r="G15" s="30"/>
      <c r="H15" s="30"/>
      <c r="I15" s="31"/>
      <c r="J15" s="30"/>
    </row>
    <row r="16" spans="1:10" x14ac:dyDescent="0.25">
      <c r="A16" s="30" t="s">
        <v>56</v>
      </c>
      <c r="B16" s="30"/>
      <c r="C16" s="30"/>
      <c r="D16" s="30"/>
      <c r="E16" s="30"/>
      <c r="F16" s="30"/>
      <c r="G16" s="30"/>
      <c r="H16" s="30"/>
      <c r="I16" s="31"/>
      <c r="J16" s="30"/>
    </row>
    <row r="17" spans="1:10" x14ac:dyDescent="0.25">
      <c r="A17" s="30"/>
      <c r="B17" s="30"/>
      <c r="C17" s="30"/>
      <c r="D17" s="30"/>
      <c r="E17" s="30"/>
      <c r="F17" s="30"/>
      <c r="G17" s="30"/>
      <c r="H17" s="30"/>
      <c r="I17" s="31"/>
      <c r="J17" s="30"/>
    </row>
    <row r="18" spans="1:10" x14ac:dyDescent="0.25">
      <c r="A18" s="30"/>
      <c r="B18" s="30"/>
      <c r="C18" s="30"/>
      <c r="D18" s="30"/>
      <c r="E18" s="30"/>
      <c r="F18" s="30"/>
      <c r="G18" s="30"/>
      <c r="H18" s="30"/>
      <c r="I18" s="31"/>
      <c r="J18" s="30"/>
    </row>
  </sheetData>
  <pageMargins left="0.7" right="0.7" top="0.75" bottom="0.75" header="0.3" footer="0.3"/>
  <pageSetup paperSize="9" scale="74" orientation="landscape"/>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pageSetUpPr fitToPage="1"/>
  </sheetPr>
  <dimension ref="A1:L28"/>
  <sheetViews>
    <sheetView workbookViewId="0"/>
  </sheetViews>
  <sheetFormatPr defaultColWidth="8.85546875" defaultRowHeight="12.75" x14ac:dyDescent="0.2"/>
  <cols>
    <col min="1" max="2" width="17" style="21" customWidth="1"/>
    <col min="3" max="3" width="15" style="21" customWidth="1"/>
    <col min="4" max="4" width="12.42578125" style="21" customWidth="1"/>
    <col min="5" max="5" width="13.42578125" style="21" customWidth="1"/>
    <col min="6" max="6" width="14.42578125" style="21" customWidth="1"/>
    <col min="7" max="7" width="15.28515625" style="21" customWidth="1"/>
    <col min="8" max="8" width="15.42578125" style="21" customWidth="1"/>
    <col min="9" max="10" width="14.85546875" style="21" customWidth="1"/>
    <col min="11" max="11" width="17.7109375" style="42" customWidth="1"/>
    <col min="12" max="12" width="64.7109375" style="27" customWidth="1"/>
    <col min="13" max="16384" width="8.85546875" style="21"/>
  </cols>
  <sheetData>
    <row r="1" spans="1:12" ht="24" customHeight="1" x14ac:dyDescent="0.2">
      <c r="A1" s="41" t="s">
        <v>154</v>
      </c>
    </row>
    <row r="3" spans="1:12" ht="48.95" customHeight="1" x14ac:dyDescent="0.2">
      <c r="A3" s="22" t="s">
        <v>19</v>
      </c>
      <c r="B3" s="43" t="s">
        <v>26</v>
      </c>
      <c r="C3" s="43" t="s">
        <v>58</v>
      </c>
      <c r="D3" s="43" t="s">
        <v>25</v>
      </c>
      <c r="E3" s="43" t="s">
        <v>59</v>
      </c>
      <c r="F3" s="43" t="s">
        <v>24</v>
      </c>
      <c r="G3" s="43" t="s">
        <v>60</v>
      </c>
      <c r="H3" s="43" t="s">
        <v>23</v>
      </c>
      <c r="I3" s="43" t="s">
        <v>61</v>
      </c>
      <c r="J3" s="43" t="s">
        <v>62</v>
      </c>
      <c r="K3" s="44" t="s">
        <v>85</v>
      </c>
      <c r="L3" s="23" t="s">
        <v>28</v>
      </c>
    </row>
    <row r="4" spans="1:12" ht="63.95" customHeight="1" x14ac:dyDescent="0.2">
      <c r="A4" s="24" t="s">
        <v>20</v>
      </c>
      <c r="B4" s="28">
        <f>906126*((1+0.03)^8)</f>
        <v>1147853.3067674348</v>
      </c>
      <c r="C4" s="28">
        <f>218925+49563*((1+0.03)^8)</f>
        <v>281709.92554381443</v>
      </c>
      <c r="D4" s="28">
        <f>254441*((1+0.03)^8)</f>
        <v>322318.2462783464</v>
      </c>
      <c r="E4" s="28">
        <f>164800+72546*((1+0.03)^8)</f>
        <v>256699.10232434596</v>
      </c>
      <c r="F4" s="28">
        <f>278903*((1+0.03)^8)</f>
        <v>353305.97600925027</v>
      </c>
      <c r="G4" s="28">
        <f>799965*((1+0.03)^8)</f>
        <v>1013371.7281572442</v>
      </c>
      <c r="H4" s="28">
        <f>639972*((1+0.03)^8)</f>
        <v>810697.38252579537</v>
      </c>
      <c r="I4" s="45">
        <v>0</v>
      </c>
      <c r="J4" s="45">
        <v>0</v>
      </c>
      <c r="K4" s="54">
        <f>(0.94*1.2)*H4</f>
        <v>914466.64748909709</v>
      </c>
      <c r="L4" s="46" t="s">
        <v>155</v>
      </c>
    </row>
    <row r="5" spans="1:12" ht="103.5" customHeight="1" x14ac:dyDescent="0.2">
      <c r="A5" s="25" t="s">
        <v>21</v>
      </c>
      <c r="B5" s="28">
        <f>1103592*((1+0.03)^8)</f>
        <v>1397997.3276587219</v>
      </c>
      <c r="C5" s="28">
        <f>678152+151078*((1+0.03)^8)</f>
        <v>869533.09035587823</v>
      </c>
      <c r="D5" s="28">
        <f>784246*((1+0.03)^8)</f>
        <v>993459.3692479122</v>
      </c>
      <c r="E5" s="28">
        <f>485249+274475*((1+0.03)^8)</f>
        <v>832945.71808886586</v>
      </c>
      <c r="F5" s="28">
        <f>930779*((1+0.03)^8)</f>
        <v>1179082.9895838837</v>
      </c>
      <c r="G5" s="28">
        <f>859893*((1+0.03)^8)</f>
        <v>1089286.7255946412</v>
      </c>
      <c r="H5" s="28">
        <f>716475*((1+0.03)^8)</f>
        <v>907609.09406219213</v>
      </c>
      <c r="I5" s="45">
        <v>0</v>
      </c>
      <c r="J5" s="45">
        <v>0</v>
      </c>
      <c r="K5" s="54">
        <f>(0.94*1.2)*D5</f>
        <v>1120622.1685116449</v>
      </c>
      <c r="L5" s="46" t="s">
        <v>156</v>
      </c>
    </row>
    <row r="6" spans="1:12" ht="90.75" customHeight="1" x14ac:dyDescent="0.2">
      <c r="A6" s="47" t="s">
        <v>22</v>
      </c>
      <c r="B6" s="28">
        <f>619069*((1+0.03)^8)</f>
        <v>784218.08751454996</v>
      </c>
      <c r="C6" s="153">
        <f>82293+152257*(1+0.03)^8</f>
        <v>275167.61228183424</v>
      </c>
      <c r="D6" s="28">
        <f>C6*0.75</f>
        <v>206375.70921137568</v>
      </c>
      <c r="E6" s="45">
        <v>0</v>
      </c>
      <c r="F6" s="45">
        <v>0</v>
      </c>
      <c r="G6" s="28">
        <f>82293+152257*(1+0.03)^8</f>
        <v>275167.61228183424</v>
      </c>
      <c r="H6" s="28">
        <f>G6*0.8</f>
        <v>220134.08982546741</v>
      </c>
      <c r="I6" s="28">
        <f>588125*((1+0.03)^8)</f>
        <v>745019.15411609167</v>
      </c>
      <c r="J6" s="28">
        <f>I6*0.8</f>
        <v>596015.32329287333</v>
      </c>
      <c r="K6" s="54">
        <f>(0.94*1.2)*J6</f>
        <v>672305.284674361</v>
      </c>
      <c r="L6" s="48" t="s">
        <v>157</v>
      </c>
    </row>
    <row r="7" spans="1:12" ht="42.95" customHeight="1" x14ac:dyDescent="0.2">
      <c r="A7" s="26" t="s">
        <v>14</v>
      </c>
      <c r="B7" s="49">
        <f t="shared" ref="B7:G7" si="0">SUM(B4:B6)</f>
        <v>3330068.7219407069</v>
      </c>
      <c r="C7" s="49">
        <f t="shared" si="0"/>
        <v>1426410.6281815269</v>
      </c>
      <c r="D7" s="49">
        <f t="shared" si="0"/>
        <v>1522153.324737634</v>
      </c>
      <c r="E7" s="49">
        <f t="shared" si="0"/>
        <v>1089644.8204132118</v>
      </c>
      <c r="F7" s="49">
        <f t="shared" si="0"/>
        <v>1532388.9655931341</v>
      </c>
      <c r="G7" s="49">
        <f t="shared" si="0"/>
        <v>2377826.0660337196</v>
      </c>
      <c r="H7" s="49">
        <f t="shared" ref="H7:K7" si="1">SUM(H4:H6)</f>
        <v>1938440.5664134549</v>
      </c>
      <c r="I7" s="49">
        <f t="shared" si="1"/>
        <v>745019.15411609167</v>
      </c>
      <c r="J7" s="49">
        <f t="shared" si="1"/>
        <v>596015.32329287333</v>
      </c>
      <c r="K7" s="55">
        <f t="shared" si="1"/>
        <v>2707394.1006751028</v>
      </c>
      <c r="L7" s="46" t="s">
        <v>158</v>
      </c>
    </row>
    <row r="9" spans="1:12" x14ac:dyDescent="0.2">
      <c r="A9" s="21" t="s">
        <v>63</v>
      </c>
    </row>
    <row r="10" spans="1:12" x14ac:dyDescent="0.2">
      <c r="A10" s="21" t="s">
        <v>29</v>
      </c>
    </row>
    <row r="12" spans="1:12" ht="59.1" customHeight="1" x14ac:dyDescent="0.2">
      <c r="A12" s="172" t="s">
        <v>64</v>
      </c>
      <c r="B12" s="172"/>
      <c r="C12" s="172"/>
      <c r="D12" s="172"/>
      <c r="E12" s="172"/>
      <c r="F12" s="172"/>
      <c r="G12" s="172"/>
      <c r="H12" s="172"/>
      <c r="I12" s="172"/>
      <c r="J12" s="172"/>
      <c r="K12" s="172"/>
    </row>
    <row r="13" spans="1:12" x14ac:dyDescent="0.2">
      <c r="A13" s="21" t="s">
        <v>84</v>
      </c>
    </row>
    <row r="20" spans="2:10" x14ac:dyDescent="0.2">
      <c r="B20" s="50"/>
    </row>
    <row r="21" spans="2:10" x14ac:dyDescent="0.2">
      <c r="B21" s="50"/>
    </row>
    <row r="22" spans="2:10" x14ac:dyDescent="0.2">
      <c r="B22" s="51"/>
      <c r="C22" s="52"/>
      <c r="D22" s="52"/>
      <c r="E22" s="52"/>
      <c r="F22" s="52"/>
      <c r="G22" s="52"/>
      <c r="H22" s="52"/>
      <c r="I22" s="52"/>
      <c r="J22" s="52"/>
    </row>
    <row r="23" spans="2:10" x14ac:dyDescent="0.2">
      <c r="B23" s="53"/>
      <c r="C23" s="52"/>
      <c r="D23" s="52"/>
      <c r="E23" s="52"/>
      <c r="F23" s="52"/>
      <c r="G23" s="52"/>
      <c r="H23" s="52"/>
      <c r="I23" s="52"/>
      <c r="J23" s="52"/>
    </row>
    <row r="24" spans="2:10" x14ac:dyDescent="0.2">
      <c r="B24" s="53"/>
      <c r="C24" s="52"/>
      <c r="D24" s="52"/>
      <c r="E24" s="52"/>
      <c r="F24" s="52"/>
      <c r="G24" s="52"/>
      <c r="H24" s="52"/>
      <c r="I24" s="52"/>
      <c r="J24" s="52"/>
    </row>
    <row r="25" spans="2:10" x14ac:dyDescent="0.2">
      <c r="B25" s="50"/>
    </row>
    <row r="26" spans="2:10" x14ac:dyDescent="0.2">
      <c r="B26" s="50"/>
    </row>
    <row r="27" spans="2:10" x14ac:dyDescent="0.2">
      <c r="C27" s="52"/>
    </row>
    <row r="28" spans="2:10" x14ac:dyDescent="0.2">
      <c r="C28" s="52"/>
    </row>
  </sheetData>
  <mergeCells count="1">
    <mergeCell ref="A12:K12"/>
  </mergeCells>
  <pageMargins left="0.7" right="0.7" top="0.75" bottom="0.75" header="0.3" footer="0.3"/>
  <pageSetup paperSize="9" scale="56" orientation="landscape"/>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workbookViewId="0"/>
  </sheetViews>
  <sheetFormatPr defaultColWidth="11.42578125" defaultRowHeight="12.75" x14ac:dyDescent="0.2"/>
  <cols>
    <col min="1" max="1" width="26.7109375" style="27" customWidth="1"/>
    <col min="2" max="3" width="14.140625" style="67" customWidth="1"/>
    <col min="4" max="4" width="14.28515625" style="67" customWidth="1"/>
    <col min="5" max="10" width="11.42578125" style="21"/>
    <col min="11" max="11" width="24.140625" style="21" customWidth="1"/>
    <col min="12" max="16384" width="11.42578125" style="21"/>
  </cols>
  <sheetData>
    <row r="1" spans="1:4" x14ac:dyDescent="0.2">
      <c r="A1" s="58" t="s">
        <v>160</v>
      </c>
      <c r="B1" s="62"/>
      <c r="C1" s="62"/>
      <c r="D1" s="62"/>
    </row>
    <row r="2" spans="1:4" ht="15.75" customHeight="1" x14ac:dyDescent="0.2">
      <c r="A2" s="69" t="s">
        <v>159</v>
      </c>
      <c r="B2" s="62"/>
      <c r="C2" s="62"/>
      <c r="D2" s="62"/>
    </row>
    <row r="3" spans="1:4" x14ac:dyDescent="0.2">
      <c r="A3" s="59" t="s">
        <v>30</v>
      </c>
      <c r="B3" s="63" t="s">
        <v>45</v>
      </c>
      <c r="C3" s="63" t="s">
        <v>46</v>
      </c>
      <c r="D3" s="63" t="s">
        <v>47</v>
      </c>
    </row>
    <row r="4" spans="1:4" x14ac:dyDescent="0.2">
      <c r="A4" s="59"/>
      <c r="B4" s="63"/>
      <c r="C4" s="63"/>
      <c r="D4" s="63"/>
    </row>
    <row r="5" spans="1:4" ht="24.75" customHeight="1" x14ac:dyDescent="0.2">
      <c r="A5" s="173" t="s">
        <v>162</v>
      </c>
      <c r="B5" s="173"/>
      <c r="C5" s="173"/>
      <c r="D5" s="173"/>
    </row>
    <row r="6" spans="1:4" x14ac:dyDescent="0.2">
      <c r="A6" s="60" t="s">
        <v>161</v>
      </c>
      <c r="B6" s="64">
        <f>15000000/595.27</f>
        <v>25198.649352394714</v>
      </c>
      <c r="C6" s="64"/>
      <c r="D6" s="64"/>
    </row>
    <row r="7" spans="1:4" x14ac:dyDescent="0.2">
      <c r="A7" s="60" t="s">
        <v>31</v>
      </c>
      <c r="B7" s="64">
        <f>3000000/595.27</f>
        <v>5039.7298704789428</v>
      </c>
      <c r="C7" s="64"/>
      <c r="D7" s="64"/>
    </row>
    <row r="8" spans="1:4" x14ac:dyDescent="0.2">
      <c r="A8" s="59" t="s">
        <v>32</v>
      </c>
      <c r="B8" s="63">
        <f>SUM(B6:B7)</f>
        <v>30238.379222873657</v>
      </c>
      <c r="C8" s="63"/>
      <c r="D8" s="63"/>
    </row>
    <row r="9" spans="1:4" x14ac:dyDescent="0.2">
      <c r="A9" s="60"/>
      <c r="B9" s="64"/>
      <c r="C9" s="64"/>
      <c r="D9" s="64"/>
    </row>
    <row r="10" spans="1:4" ht="24.75" customHeight="1" x14ac:dyDescent="0.2">
      <c r="A10" s="173" t="s">
        <v>163</v>
      </c>
      <c r="B10" s="173"/>
      <c r="C10" s="173"/>
      <c r="D10" s="173"/>
    </row>
    <row r="11" spans="1:4" ht="38.25" x14ac:dyDescent="0.2">
      <c r="A11" s="29" t="s">
        <v>65</v>
      </c>
      <c r="B11" s="65">
        <f>6000000/595.27</f>
        <v>10079.459740957886</v>
      </c>
      <c r="C11" s="65"/>
      <c r="D11" s="65"/>
    </row>
    <row r="12" spans="1:4" x14ac:dyDescent="0.2">
      <c r="A12" s="59" t="s">
        <v>33</v>
      </c>
      <c r="B12" s="63">
        <f>SUM(B11)</f>
        <v>10079.459740957886</v>
      </c>
      <c r="C12" s="63"/>
      <c r="D12" s="63"/>
    </row>
    <row r="13" spans="1:4" x14ac:dyDescent="0.2">
      <c r="A13" s="59"/>
      <c r="B13" s="63"/>
      <c r="C13" s="64"/>
      <c r="D13" s="64"/>
    </row>
    <row r="14" spans="1:4" x14ac:dyDescent="0.2">
      <c r="A14" s="61" t="s">
        <v>164</v>
      </c>
      <c r="B14" s="64"/>
      <c r="C14" s="64"/>
      <c r="D14" s="64"/>
    </row>
    <row r="15" spans="1:4" ht="38.25" x14ac:dyDescent="0.2">
      <c r="A15" s="60" t="s">
        <v>34</v>
      </c>
      <c r="B15" s="64">
        <f>65000000/595.27</f>
        <v>109194.14719371042</v>
      </c>
      <c r="C15" s="64">
        <f>5000000/595.27</f>
        <v>8399.54978413157</v>
      </c>
      <c r="D15" s="64">
        <f>5000000/595.27</f>
        <v>8399.54978413157</v>
      </c>
    </row>
    <row r="16" spans="1:4" x14ac:dyDescent="0.2">
      <c r="A16" s="60" t="s">
        <v>35</v>
      </c>
      <c r="B16" s="64">
        <f>9000000/595.27</f>
        <v>15119.189611436828</v>
      </c>
      <c r="C16" s="64">
        <f>9000000/595.27</f>
        <v>15119.189611436828</v>
      </c>
      <c r="D16" s="64">
        <f>9000000/595.27</f>
        <v>15119.189611436828</v>
      </c>
    </row>
    <row r="17" spans="1:4" x14ac:dyDescent="0.2">
      <c r="A17" s="60" t="s">
        <v>36</v>
      </c>
      <c r="B17" s="64">
        <f>4000000/595.27</f>
        <v>6719.6398273052564</v>
      </c>
      <c r="C17" s="64">
        <f>4000000/595.27</f>
        <v>6719.6398273052564</v>
      </c>
      <c r="D17" s="64">
        <f>4000000/595.27</f>
        <v>6719.6398273052564</v>
      </c>
    </row>
    <row r="18" spans="1:4" x14ac:dyDescent="0.2">
      <c r="A18" s="59" t="s">
        <v>37</v>
      </c>
      <c r="B18" s="63">
        <f>SUM(B15:B17)</f>
        <v>131032.97663245251</v>
      </c>
      <c r="C18" s="63">
        <f t="shared" ref="C18:D18" si="0">SUM(C15:C17)</f>
        <v>30238.379222873657</v>
      </c>
      <c r="D18" s="63">
        <f t="shared" si="0"/>
        <v>30238.379222873657</v>
      </c>
    </row>
    <row r="19" spans="1:4" x14ac:dyDescent="0.2">
      <c r="A19" s="60"/>
      <c r="B19" s="64"/>
      <c r="C19" s="64"/>
      <c r="D19" s="64"/>
    </row>
    <row r="20" spans="1:4" x14ac:dyDescent="0.2">
      <c r="A20" s="61" t="s">
        <v>167</v>
      </c>
      <c r="B20" s="64"/>
      <c r="C20" s="64"/>
      <c r="D20" s="64"/>
    </row>
    <row r="21" spans="1:4" x14ac:dyDescent="0.2">
      <c r="A21" s="60" t="s">
        <v>165</v>
      </c>
      <c r="B21" s="64">
        <f>900000/595.27</f>
        <v>1511.9189611436827</v>
      </c>
      <c r="C21" s="64">
        <f>900000/595.27</f>
        <v>1511.9189611436827</v>
      </c>
      <c r="D21" s="64">
        <f>900000/595.27</f>
        <v>1511.9189611436827</v>
      </c>
    </row>
    <row r="22" spans="1:4" x14ac:dyDescent="0.2">
      <c r="A22" s="60" t="s">
        <v>38</v>
      </c>
      <c r="B22" s="64">
        <f>3000000/595.27</f>
        <v>5039.7298704789428</v>
      </c>
      <c r="C22" s="64">
        <f>3000000/595.27</f>
        <v>5039.7298704789428</v>
      </c>
      <c r="D22" s="64">
        <f>3000000/595.27</f>
        <v>5039.7298704789428</v>
      </c>
    </row>
    <row r="23" spans="1:4" ht="38.25" x14ac:dyDescent="0.2">
      <c r="A23" s="60" t="s">
        <v>166</v>
      </c>
      <c r="B23" s="64">
        <f>6000000/595.27</f>
        <v>10079.459740957886</v>
      </c>
      <c r="C23" s="64">
        <f>6000000/595.27</f>
        <v>10079.459740957886</v>
      </c>
      <c r="D23" s="64">
        <f>6000000/595.27</f>
        <v>10079.459740957886</v>
      </c>
    </row>
    <row r="24" spans="1:4" x14ac:dyDescent="0.2">
      <c r="A24" s="59" t="s">
        <v>39</v>
      </c>
      <c r="B24" s="63">
        <f>SUM(B21:B23)</f>
        <v>16631.10857258051</v>
      </c>
      <c r="C24" s="63">
        <f t="shared" ref="C24:D24" si="1">SUM(C21:C23)</f>
        <v>16631.10857258051</v>
      </c>
      <c r="D24" s="63">
        <f t="shared" si="1"/>
        <v>16631.10857258051</v>
      </c>
    </row>
    <row r="25" spans="1:4" x14ac:dyDescent="0.2">
      <c r="A25" s="60"/>
      <c r="B25" s="64"/>
      <c r="C25" s="64"/>
      <c r="D25" s="64"/>
    </row>
    <row r="26" spans="1:4" x14ac:dyDescent="0.2">
      <c r="A26" s="61" t="s">
        <v>40</v>
      </c>
      <c r="B26" s="64"/>
      <c r="C26" s="64"/>
      <c r="D26" s="64"/>
    </row>
    <row r="27" spans="1:4" ht="25.5" x14ac:dyDescent="0.2">
      <c r="A27" s="60" t="s">
        <v>41</v>
      </c>
      <c r="B27" s="64">
        <f>9000000/595.27</f>
        <v>15119.189611436828</v>
      </c>
      <c r="C27" s="64"/>
      <c r="D27" s="64"/>
    </row>
    <row r="28" spans="1:4" x14ac:dyDescent="0.2">
      <c r="A28" s="60" t="s">
        <v>42</v>
      </c>
      <c r="B28" s="64"/>
      <c r="C28" s="64"/>
      <c r="D28" s="64">
        <f>7000000/595.27</f>
        <v>11759.369697784199</v>
      </c>
    </row>
    <row r="29" spans="1:4" x14ac:dyDescent="0.2">
      <c r="A29" s="59" t="s">
        <v>43</v>
      </c>
      <c r="B29" s="63">
        <f>SUM(B27:B28)</f>
        <v>15119.189611436828</v>
      </c>
      <c r="C29" s="63"/>
      <c r="D29" s="63">
        <f t="shared" ref="D29" si="2">SUM(D27:D28)</f>
        <v>11759.369697784199</v>
      </c>
    </row>
    <row r="30" spans="1:4" x14ac:dyDescent="0.2">
      <c r="A30" s="60"/>
      <c r="B30" s="64"/>
      <c r="C30" s="64"/>
      <c r="D30" s="64"/>
    </row>
    <row r="31" spans="1:4" x14ac:dyDescent="0.2">
      <c r="A31" s="59" t="s">
        <v>83</v>
      </c>
      <c r="B31" s="63">
        <f>B29+B24+B18+B12+B8</f>
        <v>203101.11378030138</v>
      </c>
      <c r="C31" s="63">
        <f t="shared" ref="C31:D31" si="3">C29+C24+C18+C12+C8</f>
        <v>46869.487795454166</v>
      </c>
      <c r="D31" s="63">
        <f t="shared" si="3"/>
        <v>58628.857493238364</v>
      </c>
    </row>
    <row r="32" spans="1:4" x14ac:dyDescent="0.2">
      <c r="A32" s="60"/>
      <c r="B32" s="64"/>
      <c r="C32" s="64"/>
      <c r="D32" s="64"/>
    </row>
    <row r="33" spans="1:4" ht="25.5" x14ac:dyDescent="0.2">
      <c r="A33" s="68" t="s">
        <v>66</v>
      </c>
      <c r="B33" s="66"/>
      <c r="C33" s="64"/>
      <c r="D33" s="64"/>
    </row>
    <row r="35" spans="1:4" x14ac:dyDescent="0.2">
      <c r="A35" s="85" t="s">
        <v>80</v>
      </c>
    </row>
  </sheetData>
  <mergeCells count="2">
    <mergeCell ref="A5:D5"/>
    <mergeCell ref="A10:D10"/>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heetViews>
  <sheetFormatPr defaultColWidth="11.42578125" defaultRowHeight="12.75" x14ac:dyDescent="0.2"/>
  <cols>
    <col min="1" max="1" width="11.42578125" style="78"/>
    <col min="2" max="2" width="15.42578125" style="78" customWidth="1"/>
    <col min="3" max="3" width="11.42578125" style="78"/>
    <col min="4" max="4" width="18.140625" style="78" customWidth="1"/>
    <col min="5" max="5" width="17.7109375" style="78" customWidth="1"/>
    <col min="6" max="7" width="16.42578125" style="78" customWidth="1"/>
    <col min="8" max="16384" width="11.42578125" style="78"/>
  </cols>
  <sheetData>
    <row r="1" spans="1:7" x14ac:dyDescent="0.2">
      <c r="A1" s="79" t="s">
        <v>168</v>
      </c>
    </row>
    <row r="2" spans="1:7" x14ac:dyDescent="0.2">
      <c r="A2" s="77"/>
    </row>
    <row r="3" spans="1:7" ht="38.25" x14ac:dyDescent="0.2">
      <c r="A3" s="80" t="s">
        <v>72</v>
      </c>
      <c r="B3" s="80" t="s">
        <v>73</v>
      </c>
      <c r="C3" s="33" t="s">
        <v>77</v>
      </c>
      <c r="D3" s="33" t="s">
        <v>78</v>
      </c>
      <c r="E3" s="33" t="s">
        <v>79</v>
      </c>
      <c r="F3" s="33" t="s">
        <v>169</v>
      </c>
      <c r="G3" s="33" t="s">
        <v>170</v>
      </c>
    </row>
    <row r="4" spans="1:7" x14ac:dyDescent="0.2">
      <c r="A4" s="81" t="s">
        <v>76</v>
      </c>
      <c r="B4" s="81" t="s">
        <v>76</v>
      </c>
      <c r="C4" s="82">
        <v>423728</v>
      </c>
      <c r="D4" s="83">
        <v>77.7</v>
      </c>
      <c r="E4" s="84">
        <v>54.7</v>
      </c>
      <c r="F4" s="88">
        <f>(446391000+101785700)/10824.94</f>
        <v>50640.160592114131</v>
      </c>
      <c r="G4" s="89">
        <f>F4*1.55</f>
        <v>78492.248917776902</v>
      </c>
    </row>
    <row r="5" spans="1:7" x14ac:dyDescent="0.2">
      <c r="A5" s="81" t="s">
        <v>76</v>
      </c>
      <c r="B5" s="81" t="s">
        <v>74</v>
      </c>
      <c r="C5" s="82">
        <v>183135</v>
      </c>
      <c r="D5" s="83">
        <v>79.2</v>
      </c>
      <c r="E5" s="84">
        <v>28.8</v>
      </c>
      <c r="F5" s="88">
        <f>(271706000)/10824.94</f>
        <v>25100.00055427559</v>
      </c>
      <c r="G5" s="89">
        <f t="shared" ref="G5:G6" si="0">F5*1.55</f>
        <v>38905.000859127169</v>
      </c>
    </row>
    <row r="6" spans="1:7" x14ac:dyDescent="0.2">
      <c r="A6" s="81" t="s">
        <v>76</v>
      </c>
      <c r="B6" s="81" t="s">
        <v>75</v>
      </c>
      <c r="C6" s="82">
        <v>122187</v>
      </c>
      <c r="D6" s="83">
        <v>70</v>
      </c>
      <c r="E6" s="84">
        <v>17.2</v>
      </c>
      <c r="F6" s="88">
        <f>(333244000)/10824.94</f>
        <v>30784.835758904897</v>
      </c>
      <c r="G6" s="89">
        <f t="shared" si="0"/>
        <v>47716.495426302594</v>
      </c>
    </row>
    <row r="7" spans="1:7" x14ac:dyDescent="0.2">
      <c r="A7" s="87" t="s">
        <v>71</v>
      </c>
      <c r="B7" s="81"/>
      <c r="C7" s="86"/>
      <c r="D7" s="83"/>
      <c r="E7" s="84"/>
      <c r="F7" s="90">
        <f>SUM(F4:F6)</f>
        <v>106524.99690529463</v>
      </c>
      <c r="G7" s="91">
        <f>SUM(G4:G6)</f>
        <v>165113.74520320666</v>
      </c>
    </row>
    <row r="9" spans="1:7" x14ac:dyDescent="0.2">
      <c r="A9" s="78" t="s">
        <v>80</v>
      </c>
    </row>
  </sheetData>
  <pageMargins left="0.7" right="0.7" top="0.75" bottom="0.75" header="0.3" footer="0.3"/>
  <pageSetup paperSize="9" orientation="landscape"/>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G7"/>
  <sheetViews>
    <sheetView workbookViewId="0"/>
  </sheetViews>
  <sheetFormatPr defaultColWidth="15.42578125" defaultRowHeight="12.75" x14ac:dyDescent="0.2"/>
  <cols>
    <col min="1" max="1" width="20.140625" style="21" customWidth="1"/>
    <col min="2" max="4" width="15.42578125" style="21"/>
    <col min="5" max="5" width="12.140625" style="21" customWidth="1"/>
    <col min="6" max="6" width="13.85546875" style="21" customWidth="1"/>
    <col min="7" max="7" width="14" style="21" customWidth="1"/>
    <col min="8" max="16384" width="15.42578125" style="21"/>
  </cols>
  <sheetData>
    <row r="1" spans="1:7" x14ac:dyDescent="0.2">
      <c r="A1" s="79" t="s">
        <v>171</v>
      </c>
      <c r="B1" s="78"/>
      <c r="C1" s="78"/>
      <c r="D1" s="78"/>
      <c r="E1" s="78"/>
      <c r="F1" s="78"/>
      <c r="G1" s="78"/>
    </row>
    <row r="2" spans="1:7" x14ac:dyDescent="0.2">
      <c r="A2" s="77"/>
      <c r="B2" s="78"/>
      <c r="C2" s="78"/>
      <c r="D2" s="78"/>
      <c r="E2" s="78"/>
      <c r="F2" s="78"/>
      <c r="G2" s="78"/>
    </row>
    <row r="3" spans="1:7" ht="51" x14ac:dyDescent="0.2">
      <c r="A3" s="80" t="s">
        <v>72</v>
      </c>
      <c r="B3" s="80" t="s">
        <v>73</v>
      </c>
      <c r="C3" s="33" t="s">
        <v>77</v>
      </c>
      <c r="D3" s="33" t="s">
        <v>78</v>
      </c>
      <c r="E3" s="33" t="s">
        <v>79</v>
      </c>
      <c r="F3" s="33" t="s">
        <v>81</v>
      </c>
      <c r="G3" s="33" t="s">
        <v>82</v>
      </c>
    </row>
    <row r="4" spans="1:7" x14ac:dyDescent="0.2">
      <c r="A4" s="92" t="s">
        <v>86</v>
      </c>
      <c r="B4" s="81" t="s">
        <v>87</v>
      </c>
      <c r="C4" s="82">
        <v>410289</v>
      </c>
      <c r="D4" s="83">
        <v>6.65</v>
      </c>
      <c r="E4" s="84">
        <v>37.82</v>
      </c>
      <c r="F4" s="88">
        <v>15344.95</v>
      </c>
      <c r="G4" s="89">
        <f>F4*1.55</f>
        <v>23784.672500000001</v>
      </c>
    </row>
    <row r="5" spans="1:7" x14ac:dyDescent="0.2">
      <c r="A5" s="87" t="s">
        <v>71</v>
      </c>
      <c r="B5" s="81"/>
      <c r="C5" s="86"/>
      <c r="D5" s="83"/>
      <c r="E5" s="84"/>
      <c r="F5" s="90">
        <f>SUM(F4:F4)</f>
        <v>15344.95</v>
      </c>
      <c r="G5" s="91">
        <f>SUM(G4:G4)</f>
        <v>23784.672500000001</v>
      </c>
    </row>
    <row r="6" spans="1:7" x14ac:dyDescent="0.2">
      <c r="A6" s="78"/>
      <c r="B6" s="78"/>
      <c r="C6" s="78"/>
      <c r="D6" s="78"/>
      <c r="E6" s="78"/>
      <c r="F6" s="78"/>
      <c r="G6" s="78"/>
    </row>
    <row r="7" spans="1:7" x14ac:dyDescent="0.2">
      <c r="A7" s="78" t="s">
        <v>80</v>
      </c>
      <c r="B7" s="78"/>
      <c r="C7" s="78"/>
      <c r="D7" s="78"/>
      <c r="E7" s="78"/>
      <c r="F7" s="78"/>
      <c r="G7" s="78"/>
    </row>
  </sheetData>
  <pageMargins left="0.7" right="0.7" top="0.75" bottom="0.75" header="0.3" footer="0.3"/>
  <pageSetup paperSize="9" orientation="landscape"/>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Deworming wishlist</vt:lpstr>
      <vt:lpstr>Guinea Bissau</vt:lpstr>
      <vt:lpstr>DRC</vt:lpstr>
      <vt:lpstr>South Sudan</vt:lpstr>
      <vt:lpstr>Cameroon</vt:lpstr>
      <vt:lpstr>Guinea</vt:lpstr>
      <vt:lpstr>Cote d'Ivoire</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2016-11-23T14:54:13Z</dcterms:created>
  <dcterms:modified xsi:type="dcterms:W3CDTF">2016-11-23T14:54:16Z</dcterms:modified>
</cp:coreProperties>
</file>